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drawings/drawing8.xml" ContentType="application/vnd.openxmlformats-officedocument.drawing+xml"/>
  <Override PartName="/xl/comments8.xml" ContentType="application/vnd.openxmlformats-officedocument.spreadsheetml.comments+xml"/>
  <Override PartName="/xl/drawings/drawing9.xml" ContentType="application/vnd.openxmlformats-officedocument.drawing+xml"/>
  <Override PartName="/xl/comments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23BE8B09-0E5A-4A51-8864-B8FC857D73DF}" xr6:coauthVersionLast="47" xr6:coauthVersionMax="47" xr10:uidLastSave="{00000000-0000-0000-0000-000000000000}"/>
  <bookViews>
    <workbookView xWindow="-108" yWindow="-108" windowWidth="23256" windowHeight="12456" xr2:uid="{7ACED1CF-3128-42C9-8B63-43FCB87669C6}"/>
  </bookViews>
  <sheets>
    <sheet name="ℹ️ " sheetId="9" r:id="rId1"/>
    <sheet name="Drivers" sheetId="1" r:id="rId2"/>
    <sheet name="Loans" sheetId="2" r:id="rId3"/>
    <sheet name="Amort" sheetId="3" state="hidden" r:id="rId4"/>
    <sheet name="Credit" sheetId="6" r:id="rId5"/>
    <sheet name="CapEx" sheetId="10" r:id="rId6"/>
    <sheet name="Income" sheetId="4" r:id="rId7"/>
    <sheet name="Balance" sheetId="5" r:id="rId8"/>
    <sheet name="Cash" sheetId="7" r:id="rId9"/>
    <sheet name="Summary" sheetId="8" r:id="rId10"/>
  </sheets>
  <definedNames>
    <definedName name="CapexAmount">Drivers!$M$7:$M$67</definedName>
    <definedName name="CapexCategory">Drivers!$K$7:$K$67</definedName>
    <definedName name="CapexDepMonths">Drivers!$P$7:$P$67</definedName>
    <definedName name="CapexItem">Drivers!$J$7:$J$67</definedName>
    <definedName name="CapexMonth">Drivers!$L$7:$L$67</definedName>
    <definedName name="CapexSalvage">Drivers!$O$7:$O$67</definedName>
    <definedName name="CapExSalvageMonth">Drivers!$N$7:$N$67</definedName>
    <definedName name="CapitalCommon">Drivers!$H$7:$H$67</definedName>
    <definedName name="CapitalCommonStart">Drivers!$H$7</definedName>
    <definedName name="CapitalDebtMonth">Drivers!$C$7:$C$67</definedName>
    <definedName name="CapitalDividends">Drivers!$I$7:$I$67</definedName>
    <definedName name="CapitalEquityMonth">Drivers!$F$7:$F$67</definedName>
    <definedName name="CapitalLong">Drivers!$E$7:$E$67</definedName>
    <definedName name="CapitalLongStart">Drivers!$E$7</definedName>
    <definedName name="CapitalPreferred">Drivers!$G$7:$G$67</definedName>
    <definedName name="CapitalPreferredStart">Drivers!$G$7</definedName>
    <definedName name="CapitalShort">Drivers!$D$7:$D$67</definedName>
    <definedName name="CapitalShortStart">Drivers!$D$7</definedName>
    <definedName name="CompBonus">Drivers!$AD$7:$AD$67</definedName>
    <definedName name="CompFTE">Drivers!$AB$7:$AB$67</definedName>
    <definedName name="CompGrowth">Drivers!$AO$19</definedName>
    <definedName name="CompLoad">Drivers!$AO$20</definedName>
    <definedName name="CompSalary">Drivers!$AC$7:$AC$67</definedName>
    <definedName name="CompStartMonth">Drivers!$AA$7:$AA$67</definedName>
    <definedName name="CompTotal">Drivers!$AE$7:$AE$67</definedName>
    <definedName name="DepExp">Drivers!$S$7:$S$67</definedName>
    <definedName name="DepMos">Drivers!$R$7:$R$67</definedName>
    <definedName name="DepStop">Drivers!$Q$7:$Q$67</definedName>
    <definedName name="LoanCohortMonth">Drivers!$AJ$7:$AJ$67</definedName>
    <definedName name="LoanCohortRate">Drivers!$AK$7:$AK$67</definedName>
    <definedName name="LoanCostCommission">Drivers!$AM$17</definedName>
    <definedName name="LoanCostProcessing">Drivers!$AM$18</definedName>
    <definedName name="LoanCostReferral">Drivers!$AM$16</definedName>
    <definedName name="LoanGrowth">Drivers!$AM$10</definedName>
    <definedName name="LoanOriginations">Loans!$K$5:$BR$5</definedName>
    <definedName name="LoanQuantity">Drivers!$AM$9</definedName>
    <definedName name="LoanRateMonth">Drivers!$AF$7:$AF$67</definedName>
    <definedName name="LoanRates">Drivers!$AI$7:$AI$67</definedName>
    <definedName name="LoanRevApplication">Drivers!$AM$12</definedName>
    <definedName name="LoanRevDelinquency">Drivers!$AO$15</definedName>
    <definedName name="LoanRevOrigination">Drivers!$AM$13</definedName>
    <definedName name="LoanRevServicing">Drivers!$AM$14</definedName>
    <definedName name="LoanSaleHeld">Drivers!$AM$21</definedName>
    <definedName name="LoanSalePercent">Drivers!$AM$20</definedName>
    <definedName name="LoanSalePremium">Drivers!$AM$22</definedName>
    <definedName name="LoanSize">Drivers!$AM$7</definedName>
    <definedName name="LoanTerm">Drivers!$AM$8</definedName>
    <definedName name="MitigateChargeoff">Drivers!$AO$16</definedName>
    <definedName name="MitigateDelinquency">Drivers!$AO$14</definedName>
    <definedName name="MitigateReserves">Drivers!$AO$17</definedName>
    <definedName name="OtherMinCash">Drivers!$AO$22</definedName>
    <definedName name="OtherTaxes">Drivers!$AO$21</definedName>
    <definedName name="OverheadAmount">Drivers!$X$7:$X$67</definedName>
    <definedName name="OverheadGrowth">Drivers!$Y$7:$Y$67</definedName>
    <definedName name="_xlnm.Print_Area" localSheetId="7">Balance!$K$5:$BR$31</definedName>
    <definedName name="_xlnm.Print_Area" localSheetId="5">CapEx!$K$5:$BR$48</definedName>
    <definedName name="_xlnm.Print_Area" localSheetId="8">Cash!$K$5:$BR$27</definedName>
    <definedName name="_xlnm.Print_Area" localSheetId="4">Credit!$K$5:$BR$46</definedName>
    <definedName name="_xlnm.Print_Area" localSheetId="1">Drivers!$C$3:$AW$67</definedName>
    <definedName name="_xlnm.Print_Area" localSheetId="6">Income!$K$5:$BR$33</definedName>
    <definedName name="_xlnm.Print_Area" localSheetId="2">Loans!$K$5:$BR$25</definedName>
    <definedName name="_xlnm.Print_Area" localSheetId="9">Summary!$B$3:$T$32</definedName>
    <definedName name="_xlnm.Print_Titles" localSheetId="7">Balance!$B:$C,Balance!$3:$4</definedName>
    <definedName name="_xlnm.Print_Titles" localSheetId="5">CapEx!$B:$C,CapEx!$3:$4</definedName>
    <definedName name="_xlnm.Print_Titles" localSheetId="8">Cash!$B:$C,Cash!$3:$4</definedName>
    <definedName name="_xlnm.Print_Titles" localSheetId="4">Credit!$B:$C,Credit!$3:$4</definedName>
    <definedName name="_xlnm.Print_Titles" localSheetId="6">Income!$B:$C,Income!$3:$4</definedName>
    <definedName name="_xlnm.Print_Titles" localSheetId="2">Loans!$B:$C,Loans!$3:$4</definedName>
    <definedName name="RateCommon">Drivers!$AO$10</definedName>
    <definedName name="RateCredit">Drivers!$AO$11</definedName>
    <definedName name="RateLong">Drivers!$AO$8</definedName>
    <definedName name="RatePreferred">Drivers!$AO$9</definedName>
    <definedName name="RateShort">Drivers!$AO$7</definedName>
    <definedName name="SalGain">Drivers!$V$7:$V$67</definedName>
    <definedName name="SalNAV">Drivers!$U$7:$U$67</definedName>
    <definedName name="SalOff">Drivers!$T$7:$T$67</definedName>
    <definedName name="ValTerminal">Drivers!$AO$12</definedName>
    <definedName name="WACC">Cash!$E$26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" i="5" l="1"/>
  <c r="C6" i="5"/>
  <c r="D6" i="5"/>
  <c r="J6" i="5"/>
  <c r="B7" i="5"/>
  <c r="C7" i="5"/>
  <c r="D7" i="5"/>
  <c r="J7" i="5"/>
  <c r="AI31" i="1"/>
  <c r="A15" i="3"/>
  <c r="M6" i="2" l="1"/>
  <c r="M13" i="2" s="1"/>
  <c r="D14" i="3"/>
  <c r="D4" i="3" s="1"/>
  <c r="K6" i="2" l="1"/>
  <c r="K13" i="2" s="1"/>
  <c r="L6" i="2"/>
  <c r="L13" i="2" s="1"/>
  <c r="E16" i="3"/>
  <c r="E23" i="3"/>
  <c r="A24" i="3"/>
  <c r="F25" i="3"/>
  <c r="F32" i="3"/>
  <c r="G34" i="3"/>
  <c r="G41" i="3"/>
  <c r="H43" i="3"/>
  <c r="H50" i="3"/>
  <c r="I52" i="3"/>
  <c r="I59" i="3"/>
  <c r="J61" i="3"/>
  <c r="J68" i="3"/>
  <c r="K70" i="3"/>
  <c r="K77" i="3"/>
  <c r="L79" i="3"/>
  <c r="L86" i="3"/>
  <c r="M88" i="3"/>
  <c r="M95" i="3"/>
  <c r="N97" i="3"/>
  <c r="N104" i="3"/>
  <c r="O106" i="3"/>
  <c r="O113" i="3"/>
  <c r="P115" i="3"/>
  <c r="P122" i="3"/>
  <c r="Q124" i="3"/>
  <c r="Q131" i="3"/>
  <c r="R133" i="3"/>
  <c r="R140" i="3"/>
  <c r="S142" i="3"/>
  <c r="S149" i="3"/>
  <c r="T151" i="3"/>
  <c r="T158" i="3"/>
  <c r="U160" i="3"/>
  <c r="U167" i="3"/>
  <c r="V169" i="3"/>
  <c r="V176" i="3"/>
  <c r="W178" i="3"/>
  <c r="W185" i="3"/>
  <c r="X187" i="3"/>
  <c r="X194" i="3"/>
  <c r="Y196" i="3"/>
  <c r="Y203" i="3"/>
  <c r="Z205" i="3"/>
  <c r="Z212" i="3"/>
  <c r="AA214" i="3"/>
  <c r="AA221" i="3"/>
  <c r="AB223" i="3"/>
  <c r="AB230" i="3"/>
  <c r="AC232" i="3"/>
  <c r="AC239" i="3"/>
  <c r="AD241" i="3"/>
  <c r="AD248" i="3"/>
  <c r="AE250" i="3"/>
  <c r="AE257" i="3"/>
  <c r="AF259" i="3"/>
  <c r="AF266" i="3"/>
  <c r="AG268" i="3"/>
  <c r="AG275" i="3"/>
  <c r="AH277" i="3"/>
  <c r="AH284" i="3"/>
  <c r="AI286" i="3"/>
  <c r="AI293" i="3"/>
  <c r="AJ295" i="3"/>
  <c r="AJ302" i="3"/>
  <c r="AK304" i="3"/>
  <c r="AK311" i="3"/>
  <c r="AL313" i="3"/>
  <c r="AL320" i="3"/>
  <c r="AM322" i="3"/>
  <c r="AM329" i="3"/>
  <c r="AN331" i="3"/>
  <c r="AN338" i="3"/>
  <c r="AO340" i="3"/>
  <c r="AO347" i="3"/>
  <c r="AP349" i="3"/>
  <c r="AP356" i="3"/>
  <c r="AQ358" i="3"/>
  <c r="AQ365" i="3"/>
  <c r="AR367" i="3"/>
  <c r="AR374" i="3"/>
  <c r="AS376" i="3"/>
  <c r="AS383" i="3"/>
  <c r="AT385" i="3"/>
  <c r="AT392" i="3"/>
  <c r="AU394" i="3"/>
  <c r="AU401" i="3"/>
  <c r="AV403" i="3"/>
  <c r="AV410" i="3"/>
  <c r="AW412" i="3"/>
  <c r="AW419" i="3"/>
  <c r="AX421" i="3"/>
  <c r="AX428" i="3"/>
  <c r="AY430" i="3"/>
  <c r="AY437" i="3"/>
  <c r="AZ439" i="3"/>
  <c r="AZ446" i="3"/>
  <c r="BA448" i="3"/>
  <c r="BA455" i="3"/>
  <c r="BB457" i="3"/>
  <c r="BB464" i="3"/>
  <c r="BC466" i="3"/>
  <c r="BC473" i="3"/>
  <c r="BD475" i="3"/>
  <c r="BD482" i="3"/>
  <c r="BE484" i="3"/>
  <c r="BE491" i="3"/>
  <c r="BF493" i="3"/>
  <c r="BF500" i="3"/>
  <c r="BG502" i="3"/>
  <c r="BG509" i="3"/>
  <c r="BH511" i="3"/>
  <c r="BH518" i="3"/>
  <c r="BI520" i="3"/>
  <c r="BI527" i="3"/>
  <c r="BJ529" i="3"/>
  <c r="BJ536" i="3"/>
  <c r="BK538" i="3"/>
  <c r="BK545" i="3"/>
  <c r="A33" i="3" l="1"/>
  <c r="A42" i="3" l="1"/>
  <c r="A51" i="3" l="1"/>
  <c r="A60" i="3" l="1"/>
  <c r="A69" i="3" l="1"/>
  <c r="A78" i="3" l="1"/>
  <c r="A87" i="3" l="1"/>
  <c r="A96" i="3" l="1"/>
  <c r="A105" i="3" l="1"/>
  <c r="A114" i="3" l="1"/>
  <c r="A123" i="3" l="1"/>
  <c r="A132" i="3" l="1"/>
  <c r="A141" i="3" l="1"/>
  <c r="A150" i="3" l="1"/>
  <c r="A159" i="3" l="1"/>
  <c r="A168" i="3" l="1"/>
  <c r="A177" i="3" l="1"/>
  <c r="A186" i="3" l="1"/>
  <c r="A195" i="3" l="1"/>
  <c r="A204" i="3" l="1"/>
  <c r="A213" i="3" l="1"/>
  <c r="A222" i="3" l="1"/>
  <c r="A231" i="3" l="1"/>
  <c r="A240" i="3" l="1"/>
  <c r="A249" i="3" l="1"/>
  <c r="A258" i="3" l="1"/>
  <c r="A267" i="3" l="1"/>
  <c r="A276" i="3" l="1"/>
  <c r="A285" i="3" l="1"/>
  <c r="A294" i="3" l="1"/>
  <c r="A303" i="3" l="1"/>
  <c r="A312" i="3" l="1"/>
  <c r="A321" i="3" l="1"/>
  <c r="A330" i="3" l="1"/>
  <c r="A339" i="3" l="1"/>
  <c r="A348" i="3" l="1"/>
  <c r="A357" i="3" l="1"/>
  <c r="A366" i="3" l="1"/>
  <c r="A375" i="3" l="1"/>
  <c r="A384" i="3" l="1"/>
  <c r="A393" i="3" l="1"/>
  <c r="A402" i="3" l="1"/>
  <c r="A411" i="3" l="1"/>
  <c r="A420" i="3" l="1"/>
  <c r="A429" i="3" l="1"/>
  <c r="A438" i="3" l="1"/>
  <c r="A447" i="3" l="1"/>
  <c r="A456" i="3" l="1"/>
  <c r="A465" i="3" l="1"/>
  <c r="A474" i="3" l="1"/>
  <c r="A483" i="3" l="1"/>
  <c r="A492" i="3" l="1"/>
  <c r="A501" i="3" l="1"/>
  <c r="A510" i="3" l="1"/>
  <c r="A519" i="3" l="1"/>
  <c r="A528" i="3" l="1"/>
  <c r="A537" i="3" l="1"/>
  <c r="V7" i="2" l="1"/>
  <c r="U7" i="2"/>
  <c r="T7" i="2"/>
  <c r="S7" i="2"/>
  <c r="R7" i="2"/>
  <c r="Q7" i="2"/>
  <c r="P7" i="2"/>
  <c r="O7" i="2"/>
  <c r="N7" i="2"/>
  <c r="M7" i="2"/>
  <c r="L7" i="2"/>
  <c r="K7" i="2"/>
  <c r="Q8" i="1" l="1"/>
  <c r="R8" i="1" s="1"/>
  <c r="T8" i="1"/>
  <c r="K35" i="10" a="1"/>
  <c r="K35" i="10" s="1"/>
  <c r="L35" i="10" a="1"/>
  <c r="L35" i="10" s="1"/>
  <c r="M35" i="10" a="1"/>
  <c r="M35" i="10" s="1"/>
  <c r="N35" i="10" a="1"/>
  <c r="N35" i="10" s="1"/>
  <c r="O35" i="10" a="1"/>
  <c r="O35" i="10" s="1"/>
  <c r="P35" i="10" a="1"/>
  <c r="P35" i="10" s="1"/>
  <c r="Q35" i="10" a="1"/>
  <c r="Q35" i="10" s="1"/>
  <c r="R35" i="10" a="1"/>
  <c r="R35" i="10" s="1"/>
  <c r="S35" i="10" a="1"/>
  <c r="S35" i="10" s="1"/>
  <c r="T35" i="10" a="1"/>
  <c r="T35" i="10" s="1"/>
  <c r="U35" i="10" a="1"/>
  <c r="U35" i="10" s="1"/>
  <c r="V35" i="10" a="1"/>
  <c r="V35" i="10" s="1"/>
  <c r="W35" i="10" a="1"/>
  <c r="W35" i="10" s="1"/>
  <c r="X35" i="10" a="1"/>
  <c r="X35" i="10" s="1"/>
  <c r="Y35" i="10" a="1"/>
  <c r="Y35" i="10" s="1"/>
  <c r="Z35" i="10" a="1"/>
  <c r="Z35" i="10" s="1"/>
  <c r="AA35" i="10" a="1"/>
  <c r="AA35" i="10" s="1"/>
  <c r="AB35" i="10" a="1"/>
  <c r="AB35" i="10" s="1"/>
  <c r="AC35" i="10" a="1"/>
  <c r="AC35" i="10" s="1"/>
  <c r="AD35" i="10" a="1"/>
  <c r="AD35" i="10" s="1"/>
  <c r="AE35" i="10" a="1"/>
  <c r="AE35" i="10" s="1"/>
  <c r="AF35" i="10" a="1"/>
  <c r="AF35" i="10" s="1"/>
  <c r="AG35" i="10" a="1"/>
  <c r="AG35" i="10" s="1"/>
  <c r="AH35" i="10" a="1"/>
  <c r="AH35" i="10" s="1"/>
  <c r="AI35" i="10" a="1"/>
  <c r="AI35" i="10" s="1"/>
  <c r="AJ35" i="10" a="1"/>
  <c r="AJ35" i="10" s="1"/>
  <c r="AK35" i="10" a="1"/>
  <c r="AK35" i="10" s="1"/>
  <c r="AL35" i="10" a="1"/>
  <c r="AL35" i="10" s="1"/>
  <c r="AM35" i="10" a="1"/>
  <c r="AM35" i="10" s="1"/>
  <c r="AN35" i="10" a="1"/>
  <c r="AN35" i="10" s="1"/>
  <c r="AO35" i="10" a="1"/>
  <c r="AO35" i="10" s="1"/>
  <c r="AP35" i="10" a="1"/>
  <c r="AP35" i="10" s="1"/>
  <c r="AQ35" i="10" a="1"/>
  <c r="AQ35" i="10" s="1"/>
  <c r="AR35" i="10" a="1"/>
  <c r="AR35" i="10" s="1"/>
  <c r="AS35" i="10" a="1"/>
  <c r="AS35" i="10" s="1"/>
  <c r="AT35" i="10" a="1"/>
  <c r="AT35" i="10" s="1"/>
  <c r="AU35" i="10" a="1"/>
  <c r="AU35" i="10" s="1"/>
  <c r="AV35" i="10" a="1"/>
  <c r="AV35" i="10" s="1"/>
  <c r="AW35" i="10" a="1"/>
  <c r="AW35" i="10" s="1"/>
  <c r="AX35" i="10" a="1"/>
  <c r="AX35" i="10" s="1"/>
  <c r="AY35" i="10" a="1"/>
  <c r="AY35" i="10" s="1"/>
  <c r="AZ35" i="10" a="1"/>
  <c r="AZ35" i="10" s="1"/>
  <c r="BA35" i="10" a="1"/>
  <c r="BA35" i="10" s="1"/>
  <c r="BB35" i="10" a="1"/>
  <c r="BB35" i="10" s="1"/>
  <c r="BC35" i="10" a="1"/>
  <c r="BC35" i="10" s="1"/>
  <c r="BD35" i="10" a="1"/>
  <c r="BD35" i="10" s="1"/>
  <c r="BE35" i="10" a="1"/>
  <c r="BE35" i="10" s="1"/>
  <c r="BF35" i="10" a="1"/>
  <c r="BF35" i="10" s="1"/>
  <c r="BG35" i="10" a="1"/>
  <c r="BG35" i="10" s="1"/>
  <c r="BH35" i="10" a="1"/>
  <c r="BH35" i="10" s="1"/>
  <c r="BI35" i="10" a="1"/>
  <c r="BI35" i="10" s="1"/>
  <c r="BJ35" i="10" a="1"/>
  <c r="BJ35" i="10" s="1"/>
  <c r="BK35" i="10" a="1"/>
  <c r="BK35" i="10" s="1"/>
  <c r="BL35" i="10" a="1"/>
  <c r="BL35" i="10" s="1"/>
  <c r="BM35" i="10" a="1"/>
  <c r="BM35" i="10" s="1"/>
  <c r="BN35" i="10" a="1"/>
  <c r="BN35" i="10" s="1"/>
  <c r="BO35" i="10" a="1"/>
  <c r="BO35" i="10" s="1"/>
  <c r="BP35" i="10" a="1"/>
  <c r="BP35" i="10" s="1"/>
  <c r="BQ35" i="10" a="1"/>
  <c r="BQ35" i="10" s="1"/>
  <c r="BR35" i="10" a="1"/>
  <c r="BR35" i="10" s="1"/>
  <c r="T7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9" i="1"/>
  <c r="T10" i="1"/>
  <c r="T11" i="1"/>
  <c r="T12" i="1"/>
  <c r="T13" i="1"/>
  <c r="T14" i="1"/>
  <c r="T15" i="1"/>
  <c r="T16" i="1"/>
  <c r="T17" i="1"/>
  <c r="T18" i="1"/>
  <c r="Q9" i="1"/>
  <c r="R9" i="1" s="1"/>
  <c r="N27" i="10" l="1" a="1"/>
  <c r="N27" i="10" s="1"/>
  <c r="N10" i="5" s="1"/>
  <c r="S8" i="1"/>
  <c r="V8" i="1" s="1"/>
  <c r="BC28" i="10" a="1"/>
  <c r="BC28" i="10" s="1"/>
  <c r="BC11" i="5" s="1"/>
  <c r="AQ31" i="10" a="1"/>
  <c r="AQ31" i="10" s="1"/>
  <c r="AQ14" i="5" s="1"/>
  <c r="AX27" i="10" a="1"/>
  <c r="AX27" i="10" s="1"/>
  <c r="AX10" i="5" s="1"/>
  <c r="BG27" i="10" a="1"/>
  <c r="BG27" i="10" s="1"/>
  <c r="BG10" i="5" s="1"/>
  <c r="BK28" i="10" a="1"/>
  <c r="BK28" i="10" s="1"/>
  <c r="BK11" i="5" s="1"/>
  <c r="BO29" i="10" a="1"/>
  <c r="BO29" i="10" s="1"/>
  <c r="BO12" i="5" s="1"/>
  <c r="K31" i="10" a="1"/>
  <c r="K31" i="10" s="1"/>
  <c r="K14" i="5" s="1"/>
  <c r="BG29" i="10" a="1"/>
  <c r="BG29" i="10" s="1"/>
  <c r="BG12" i="5" s="1"/>
  <c r="BO27" i="10" a="1"/>
  <c r="BO27" i="10" s="1"/>
  <c r="BO10" i="5" s="1"/>
  <c r="K29" i="10" a="1"/>
  <c r="K29" i="10" s="1"/>
  <c r="K12" i="5" s="1"/>
  <c r="O30" i="10" a="1"/>
  <c r="O30" i="10" s="1"/>
  <c r="O13" i="5" s="1"/>
  <c r="S31" i="10" a="1"/>
  <c r="S31" i="10" s="1"/>
  <c r="S14" i="5" s="1"/>
  <c r="AY27" i="10" a="1"/>
  <c r="AY27" i="10" s="1"/>
  <c r="AY10" i="5" s="1"/>
  <c r="K27" i="10" a="1"/>
  <c r="K27" i="10" s="1"/>
  <c r="K10" i="5" s="1"/>
  <c r="O28" i="10" a="1"/>
  <c r="O28" i="10" s="1"/>
  <c r="O11" i="5" s="1"/>
  <c r="S29" i="10" a="1"/>
  <c r="S29" i="10" s="1"/>
  <c r="S12" i="5" s="1"/>
  <c r="W30" i="10" a="1"/>
  <c r="W30" i="10" s="1"/>
  <c r="W13" i="5" s="1"/>
  <c r="AA31" i="10" a="1"/>
  <c r="AA31" i="10" s="1"/>
  <c r="AA14" i="5" s="1"/>
  <c r="BK30" i="10" a="1"/>
  <c r="BK30" i="10" s="1"/>
  <c r="BK13" i="5" s="1"/>
  <c r="S27" i="10" a="1"/>
  <c r="S27" i="10" s="1"/>
  <c r="S10" i="5" s="1"/>
  <c r="W28" i="10" a="1"/>
  <c r="W28" i="10" s="1"/>
  <c r="W11" i="5" s="1"/>
  <c r="AA29" i="10" a="1"/>
  <c r="AA29" i="10" s="1"/>
  <c r="AA12" i="5" s="1"/>
  <c r="AE30" i="10" a="1"/>
  <c r="AE30" i="10" s="1"/>
  <c r="AE13" i="5" s="1"/>
  <c r="AI31" i="10" a="1"/>
  <c r="AI31" i="10" s="1"/>
  <c r="AI14" i="5" s="1"/>
  <c r="AA27" i="10" a="1"/>
  <c r="AA27" i="10" s="1"/>
  <c r="AA10" i="5" s="1"/>
  <c r="AE28" i="10" a="1"/>
  <c r="AE28" i="10" s="1"/>
  <c r="AE11" i="5" s="1"/>
  <c r="AI29" i="10" a="1"/>
  <c r="AI29" i="10" s="1"/>
  <c r="AI12" i="5" s="1"/>
  <c r="AM30" i="10" a="1"/>
  <c r="AM30" i="10" s="1"/>
  <c r="AM13" i="5" s="1"/>
  <c r="BR32" i="10" a="1"/>
  <c r="BR32" i="10" s="1"/>
  <c r="BR15" i="5" s="1"/>
  <c r="I15" i="5" s="1"/>
  <c r="AI27" i="10" a="1"/>
  <c r="AI27" i="10" s="1"/>
  <c r="AI10" i="5" s="1"/>
  <c r="AM28" i="10" a="1"/>
  <c r="AM28" i="10" s="1"/>
  <c r="AM11" i="5" s="1"/>
  <c r="AQ29" i="10" a="1"/>
  <c r="AQ29" i="10" s="1"/>
  <c r="AQ12" i="5" s="1"/>
  <c r="AU30" i="10" a="1"/>
  <c r="AU30" i="10" s="1"/>
  <c r="AU13" i="5" s="1"/>
  <c r="AY31" i="10" a="1"/>
  <c r="AY31" i="10" s="1"/>
  <c r="AY14" i="5" s="1"/>
  <c r="AQ27" i="10" a="1"/>
  <c r="AQ27" i="10" s="1"/>
  <c r="AQ10" i="5" s="1"/>
  <c r="AU28" i="10" a="1"/>
  <c r="AU28" i="10" s="1"/>
  <c r="AU11" i="5" s="1"/>
  <c r="AY29" i="10" a="1"/>
  <c r="AY29" i="10" s="1"/>
  <c r="AY12" i="5" s="1"/>
  <c r="BC30" i="10" a="1"/>
  <c r="BC30" i="10" s="1"/>
  <c r="BC13" i="5" s="1"/>
  <c r="O32" i="10" a="1"/>
  <c r="O32" i="10" s="1"/>
  <c r="O15" i="5" s="1"/>
  <c r="BG31" i="10" a="1"/>
  <c r="BG31" i="10" s="1"/>
  <c r="BG14" i="5" s="1"/>
  <c r="AM32" i="10" a="1"/>
  <c r="AM32" i="10" s="1"/>
  <c r="AM15" i="5" s="1"/>
  <c r="L27" i="10" a="1"/>
  <c r="L27" i="10" s="1"/>
  <c r="L10" i="5" s="1"/>
  <c r="T27" i="10" a="1"/>
  <c r="T27" i="10" s="1"/>
  <c r="T10" i="5" s="1"/>
  <c r="AB27" i="10" a="1"/>
  <c r="AB27" i="10" s="1"/>
  <c r="AB10" i="5" s="1"/>
  <c r="AJ27" i="10" a="1"/>
  <c r="AJ27" i="10" s="1"/>
  <c r="AJ10" i="5" s="1"/>
  <c r="AR27" i="10" a="1"/>
  <c r="AR27" i="10" s="1"/>
  <c r="AR10" i="5" s="1"/>
  <c r="AZ27" i="10" a="1"/>
  <c r="AZ27" i="10" s="1"/>
  <c r="AZ10" i="5" s="1"/>
  <c r="BH27" i="10" a="1"/>
  <c r="BH27" i="10" s="1"/>
  <c r="BH10" i="5" s="1"/>
  <c r="BP27" i="10" a="1"/>
  <c r="BP27" i="10" s="1"/>
  <c r="BP10" i="5" s="1"/>
  <c r="P28" i="10" a="1"/>
  <c r="P28" i="10" s="1"/>
  <c r="P11" i="5" s="1"/>
  <c r="X28" i="10" a="1"/>
  <c r="X28" i="10" s="1"/>
  <c r="X11" i="5" s="1"/>
  <c r="AF28" i="10" a="1"/>
  <c r="AF28" i="10" s="1"/>
  <c r="AF11" i="5" s="1"/>
  <c r="AN28" i="10" a="1"/>
  <c r="AN28" i="10" s="1"/>
  <c r="AN11" i="5" s="1"/>
  <c r="AV28" i="10" a="1"/>
  <c r="AV28" i="10" s="1"/>
  <c r="AV11" i="5" s="1"/>
  <c r="BD28" i="10" a="1"/>
  <c r="BD28" i="10" s="1"/>
  <c r="BD11" i="5" s="1"/>
  <c r="BL28" i="10" a="1"/>
  <c r="BL28" i="10" s="1"/>
  <c r="BL11" i="5" s="1"/>
  <c r="L29" i="10" a="1"/>
  <c r="L29" i="10" s="1"/>
  <c r="L12" i="5" s="1"/>
  <c r="T29" i="10" a="1"/>
  <c r="T29" i="10" s="1"/>
  <c r="T12" i="5" s="1"/>
  <c r="AB29" i="10" a="1"/>
  <c r="AB29" i="10" s="1"/>
  <c r="AB12" i="5" s="1"/>
  <c r="AJ29" i="10" a="1"/>
  <c r="AJ29" i="10" s="1"/>
  <c r="AJ12" i="5" s="1"/>
  <c r="AR29" i="10" a="1"/>
  <c r="AR29" i="10" s="1"/>
  <c r="AR12" i="5" s="1"/>
  <c r="AZ29" i="10" a="1"/>
  <c r="AZ29" i="10" s="1"/>
  <c r="AZ12" i="5" s="1"/>
  <c r="BH29" i="10" a="1"/>
  <c r="BH29" i="10" s="1"/>
  <c r="BH12" i="5" s="1"/>
  <c r="BP29" i="10" a="1"/>
  <c r="BP29" i="10" s="1"/>
  <c r="BP12" i="5" s="1"/>
  <c r="P30" i="10" a="1"/>
  <c r="P30" i="10" s="1"/>
  <c r="P13" i="5" s="1"/>
  <c r="X30" i="10" a="1"/>
  <c r="X30" i="10" s="1"/>
  <c r="X13" i="5" s="1"/>
  <c r="AF30" i="10" a="1"/>
  <c r="AF30" i="10" s="1"/>
  <c r="AF13" i="5" s="1"/>
  <c r="AN30" i="10" a="1"/>
  <c r="AN30" i="10" s="1"/>
  <c r="AN13" i="5" s="1"/>
  <c r="AV30" i="10" a="1"/>
  <c r="AV30" i="10" s="1"/>
  <c r="AV13" i="5" s="1"/>
  <c r="BD30" i="10" a="1"/>
  <c r="BD30" i="10" s="1"/>
  <c r="BD13" i="5" s="1"/>
  <c r="BL30" i="10" a="1"/>
  <c r="BL30" i="10" s="1"/>
  <c r="BL13" i="5" s="1"/>
  <c r="L31" i="10" a="1"/>
  <c r="L31" i="10" s="1"/>
  <c r="L14" i="5" s="1"/>
  <c r="T31" i="10" a="1"/>
  <c r="T31" i="10" s="1"/>
  <c r="T14" i="5" s="1"/>
  <c r="AB31" i="10" a="1"/>
  <c r="AB31" i="10" s="1"/>
  <c r="AB14" i="5" s="1"/>
  <c r="AJ31" i="10" a="1"/>
  <c r="AJ31" i="10" s="1"/>
  <c r="AJ14" i="5" s="1"/>
  <c r="AR31" i="10" a="1"/>
  <c r="AR31" i="10" s="1"/>
  <c r="AR14" i="5" s="1"/>
  <c r="AZ31" i="10" a="1"/>
  <c r="AZ31" i="10" s="1"/>
  <c r="AZ14" i="5" s="1"/>
  <c r="BH31" i="10" a="1"/>
  <c r="BH31" i="10" s="1"/>
  <c r="BH14" i="5" s="1"/>
  <c r="BP31" i="10" a="1"/>
  <c r="BP31" i="10" s="1"/>
  <c r="BP14" i="5" s="1"/>
  <c r="P32" i="10" a="1"/>
  <c r="P32" i="10" s="1"/>
  <c r="P15" i="5" s="1"/>
  <c r="X32" i="10" a="1"/>
  <c r="X32" i="10" s="1"/>
  <c r="X15" i="5" s="1"/>
  <c r="AF32" i="10" a="1"/>
  <c r="AF32" i="10" s="1"/>
  <c r="AF15" i="5" s="1"/>
  <c r="AN32" i="10" a="1"/>
  <c r="AN32" i="10" s="1"/>
  <c r="AN15" i="5" s="1"/>
  <c r="AV32" i="10" a="1"/>
  <c r="AV32" i="10" s="1"/>
  <c r="AV15" i="5" s="1"/>
  <c r="BD32" i="10" a="1"/>
  <c r="BD32" i="10" s="1"/>
  <c r="BD15" i="5" s="1"/>
  <c r="BL32" i="10" a="1"/>
  <c r="BL32" i="10" s="1"/>
  <c r="BL15" i="5" s="1"/>
  <c r="AE32" i="10" a="1"/>
  <c r="AE32" i="10" s="1"/>
  <c r="AE15" i="5" s="1"/>
  <c r="M27" i="10" a="1"/>
  <c r="M27" i="10" s="1"/>
  <c r="M10" i="5" s="1"/>
  <c r="U27" i="10" a="1"/>
  <c r="U27" i="10" s="1"/>
  <c r="U10" i="5" s="1"/>
  <c r="AC27" i="10" a="1"/>
  <c r="AC27" i="10" s="1"/>
  <c r="AC10" i="5" s="1"/>
  <c r="AK27" i="10" a="1"/>
  <c r="AK27" i="10" s="1"/>
  <c r="AK10" i="5" s="1"/>
  <c r="AS27" i="10" a="1"/>
  <c r="AS27" i="10" s="1"/>
  <c r="AS10" i="5" s="1"/>
  <c r="BA27" i="10" a="1"/>
  <c r="BA27" i="10" s="1"/>
  <c r="BA10" i="5" s="1"/>
  <c r="BI27" i="10" a="1"/>
  <c r="BI27" i="10" s="1"/>
  <c r="BI10" i="5" s="1"/>
  <c r="BQ27" i="10" a="1"/>
  <c r="BQ27" i="10" s="1"/>
  <c r="BQ10" i="5" s="1"/>
  <c r="Q28" i="10" a="1"/>
  <c r="Q28" i="10" s="1"/>
  <c r="Q11" i="5" s="1"/>
  <c r="Y28" i="10" a="1"/>
  <c r="Y28" i="10" s="1"/>
  <c r="Y11" i="5" s="1"/>
  <c r="AG28" i="10" a="1"/>
  <c r="AG28" i="10" s="1"/>
  <c r="AG11" i="5" s="1"/>
  <c r="AO28" i="10" a="1"/>
  <c r="AO28" i="10" s="1"/>
  <c r="AO11" i="5" s="1"/>
  <c r="AW28" i="10" a="1"/>
  <c r="AW28" i="10" s="1"/>
  <c r="AW11" i="5" s="1"/>
  <c r="BE28" i="10" a="1"/>
  <c r="BE28" i="10" s="1"/>
  <c r="BE11" i="5" s="1"/>
  <c r="BM28" i="10" a="1"/>
  <c r="BM28" i="10" s="1"/>
  <c r="BM11" i="5" s="1"/>
  <c r="M29" i="10" a="1"/>
  <c r="M29" i="10" s="1"/>
  <c r="M12" i="5" s="1"/>
  <c r="U29" i="10" a="1"/>
  <c r="U29" i="10" s="1"/>
  <c r="U12" i="5" s="1"/>
  <c r="AC29" i="10" a="1"/>
  <c r="AC29" i="10" s="1"/>
  <c r="AC12" i="5" s="1"/>
  <c r="AK29" i="10" a="1"/>
  <c r="AK29" i="10" s="1"/>
  <c r="AK12" i="5" s="1"/>
  <c r="AS29" i="10" a="1"/>
  <c r="AS29" i="10" s="1"/>
  <c r="AS12" i="5" s="1"/>
  <c r="BA29" i="10" a="1"/>
  <c r="BA29" i="10" s="1"/>
  <c r="BA12" i="5" s="1"/>
  <c r="BI29" i="10" a="1"/>
  <c r="BI29" i="10" s="1"/>
  <c r="BI12" i="5" s="1"/>
  <c r="BQ29" i="10" a="1"/>
  <c r="BQ29" i="10" s="1"/>
  <c r="BQ12" i="5" s="1"/>
  <c r="Q30" i="10" a="1"/>
  <c r="Q30" i="10" s="1"/>
  <c r="Q13" i="5" s="1"/>
  <c r="Y30" i="10" a="1"/>
  <c r="Y30" i="10" s="1"/>
  <c r="Y13" i="5" s="1"/>
  <c r="AG30" i="10" a="1"/>
  <c r="AG30" i="10" s="1"/>
  <c r="AG13" i="5" s="1"/>
  <c r="AO30" i="10" a="1"/>
  <c r="AO30" i="10" s="1"/>
  <c r="AO13" i="5" s="1"/>
  <c r="AW30" i="10" a="1"/>
  <c r="AW30" i="10" s="1"/>
  <c r="AW13" i="5" s="1"/>
  <c r="BE30" i="10" a="1"/>
  <c r="BE30" i="10" s="1"/>
  <c r="BE13" i="5" s="1"/>
  <c r="BM30" i="10" a="1"/>
  <c r="BM30" i="10" s="1"/>
  <c r="BM13" i="5" s="1"/>
  <c r="M31" i="10" a="1"/>
  <c r="M31" i="10" s="1"/>
  <c r="M14" i="5" s="1"/>
  <c r="U31" i="10" a="1"/>
  <c r="U31" i="10" s="1"/>
  <c r="U14" i="5" s="1"/>
  <c r="AC31" i="10" a="1"/>
  <c r="AC31" i="10" s="1"/>
  <c r="AC14" i="5" s="1"/>
  <c r="AK31" i="10" a="1"/>
  <c r="AK31" i="10" s="1"/>
  <c r="AK14" i="5" s="1"/>
  <c r="AS31" i="10" a="1"/>
  <c r="AS31" i="10" s="1"/>
  <c r="AS14" i="5" s="1"/>
  <c r="BA31" i="10" a="1"/>
  <c r="BA31" i="10" s="1"/>
  <c r="BA14" i="5" s="1"/>
  <c r="BI31" i="10" a="1"/>
  <c r="BI31" i="10" s="1"/>
  <c r="BI14" i="5" s="1"/>
  <c r="BQ31" i="10" a="1"/>
  <c r="BQ31" i="10" s="1"/>
  <c r="BQ14" i="5" s="1"/>
  <c r="Q32" i="10" a="1"/>
  <c r="Q32" i="10" s="1"/>
  <c r="Q15" i="5" s="1"/>
  <c r="Y32" i="10" a="1"/>
  <c r="Y32" i="10" s="1"/>
  <c r="Y15" i="5" s="1"/>
  <c r="AG32" i="10" a="1"/>
  <c r="AG32" i="10" s="1"/>
  <c r="AG15" i="5" s="1"/>
  <c r="AO32" i="10" a="1"/>
  <c r="AO32" i="10" s="1"/>
  <c r="AO15" i="5" s="1"/>
  <c r="AW32" i="10" a="1"/>
  <c r="AW32" i="10" s="1"/>
  <c r="AW15" i="5" s="1"/>
  <c r="BE32" i="10" a="1"/>
  <c r="BE32" i="10" s="1"/>
  <c r="BE15" i="5" s="1"/>
  <c r="BM32" i="10" a="1"/>
  <c r="BM32" i="10" s="1"/>
  <c r="BM15" i="5" s="1"/>
  <c r="BO31" i="10" a="1"/>
  <c r="BO31" i="10" s="1"/>
  <c r="BO14" i="5" s="1"/>
  <c r="AU32" i="10" a="1"/>
  <c r="AU32" i="10" s="1"/>
  <c r="AU15" i="5" s="1"/>
  <c r="V27" i="10" a="1"/>
  <c r="V27" i="10" s="1"/>
  <c r="V10" i="5" s="1"/>
  <c r="E10" i="5" s="1"/>
  <c r="AD27" i="10" a="1"/>
  <c r="AD27" i="10" s="1"/>
  <c r="AD10" i="5" s="1"/>
  <c r="AL27" i="10" a="1"/>
  <c r="AL27" i="10" s="1"/>
  <c r="AL10" i="5" s="1"/>
  <c r="AT27" i="10" a="1"/>
  <c r="AT27" i="10" s="1"/>
  <c r="AT10" i="5" s="1"/>
  <c r="G10" i="5" s="1"/>
  <c r="BB27" i="10" a="1"/>
  <c r="BB27" i="10" s="1"/>
  <c r="BB10" i="5" s="1"/>
  <c r="BJ27" i="10" a="1"/>
  <c r="BJ27" i="10" s="1"/>
  <c r="BJ10" i="5" s="1"/>
  <c r="BR27" i="10" a="1"/>
  <c r="BR27" i="10" s="1"/>
  <c r="BR10" i="5" s="1"/>
  <c r="I10" i="5" s="1"/>
  <c r="R28" i="10" a="1"/>
  <c r="R28" i="10" s="1"/>
  <c r="R11" i="5" s="1"/>
  <c r="Z28" i="10" a="1"/>
  <c r="Z28" i="10" s="1"/>
  <c r="Z11" i="5" s="1"/>
  <c r="AH28" i="10" a="1"/>
  <c r="AH28" i="10" s="1"/>
  <c r="AH11" i="5" s="1"/>
  <c r="F11" i="5" s="1"/>
  <c r="AP28" i="10" a="1"/>
  <c r="AP28" i="10" s="1"/>
  <c r="AP11" i="5" s="1"/>
  <c r="AX28" i="10" a="1"/>
  <c r="AX28" i="10" s="1"/>
  <c r="AX11" i="5" s="1"/>
  <c r="BF28" i="10" a="1"/>
  <c r="BF28" i="10" s="1"/>
  <c r="BF11" i="5" s="1"/>
  <c r="H11" i="5" s="1"/>
  <c r="BN28" i="10" a="1"/>
  <c r="BN28" i="10" s="1"/>
  <c r="BN11" i="5" s="1"/>
  <c r="N29" i="10" a="1"/>
  <c r="N29" i="10" s="1"/>
  <c r="N12" i="5" s="1"/>
  <c r="V29" i="10" a="1"/>
  <c r="V29" i="10" s="1"/>
  <c r="V12" i="5" s="1"/>
  <c r="E12" i="5" s="1"/>
  <c r="AD29" i="10" a="1"/>
  <c r="AD29" i="10" s="1"/>
  <c r="AD12" i="5" s="1"/>
  <c r="AL29" i="10" a="1"/>
  <c r="AL29" i="10" s="1"/>
  <c r="AL12" i="5" s="1"/>
  <c r="AT29" i="10" a="1"/>
  <c r="AT29" i="10" s="1"/>
  <c r="AT12" i="5" s="1"/>
  <c r="G12" i="5" s="1"/>
  <c r="BB29" i="10" a="1"/>
  <c r="BB29" i="10" s="1"/>
  <c r="BB12" i="5" s="1"/>
  <c r="BJ29" i="10" a="1"/>
  <c r="BJ29" i="10" s="1"/>
  <c r="BJ12" i="5" s="1"/>
  <c r="BR29" i="10" a="1"/>
  <c r="BR29" i="10" s="1"/>
  <c r="BR12" i="5" s="1"/>
  <c r="I12" i="5" s="1"/>
  <c r="R30" i="10" a="1"/>
  <c r="R30" i="10" s="1"/>
  <c r="R13" i="5" s="1"/>
  <c r="Z30" i="10" a="1"/>
  <c r="Z30" i="10" s="1"/>
  <c r="Z13" i="5" s="1"/>
  <c r="AH30" i="10" a="1"/>
  <c r="AH30" i="10" s="1"/>
  <c r="AH13" i="5" s="1"/>
  <c r="F13" i="5" s="1"/>
  <c r="AP30" i="10" a="1"/>
  <c r="AP30" i="10" s="1"/>
  <c r="AP13" i="5" s="1"/>
  <c r="AX30" i="10" a="1"/>
  <c r="AX30" i="10" s="1"/>
  <c r="AX13" i="5" s="1"/>
  <c r="BF30" i="10" a="1"/>
  <c r="BF30" i="10" s="1"/>
  <c r="BF13" i="5" s="1"/>
  <c r="H13" i="5" s="1"/>
  <c r="BN30" i="10" a="1"/>
  <c r="BN30" i="10" s="1"/>
  <c r="BN13" i="5" s="1"/>
  <c r="N31" i="10" a="1"/>
  <c r="N31" i="10" s="1"/>
  <c r="N14" i="5" s="1"/>
  <c r="V31" i="10" a="1"/>
  <c r="V31" i="10" s="1"/>
  <c r="V14" i="5" s="1"/>
  <c r="E14" i="5" s="1"/>
  <c r="AD31" i="10" a="1"/>
  <c r="AD31" i="10" s="1"/>
  <c r="AD14" i="5" s="1"/>
  <c r="AL31" i="10" a="1"/>
  <c r="AL31" i="10" s="1"/>
  <c r="AL14" i="5" s="1"/>
  <c r="AT31" i="10" a="1"/>
  <c r="AT31" i="10" s="1"/>
  <c r="AT14" i="5" s="1"/>
  <c r="G14" i="5" s="1"/>
  <c r="BB31" i="10" a="1"/>
  <c r="BB31" i="10" s="1"/>
  <c r="BB14" i="5" s="1"/>
  <c r="BJ31" i="10" a="1"/>
  <c r="BJ31" i="10" s="1"/>
  <c r="BJ14" i="5" s="1"/>
  <c r="BR31" i="10" a="1"/>
  <c r="BR31" i="10" s="1"/>
  <c r="BR14" i="5" s="1"/>
  <c r="I14" i="5" s="1"/>
  <c r="R32" i="10" a="1"/>
  <c r="R32" i="10" s="1"/>
  <c r="R15" i="5" s="1"/>
  <c r="Z32" i="10" a="1"/>
  <c r="Z32" i="10" s="1"/>
  <c r="Z15" i="5" s="1"/>
  <c r="AH32" i="10" a="1"/>
  <c r="AH32" i="10" s="1"/>
  <c r="AH15" i="5" s="1"/>
  <c r="F15" i="5" s="1"/>
  <c r="AP32" i="10" a="1"/>
  <c r="AP32" i="10" s="1"/>
  <c r="AP15" i="5" s="1"/>
  <c r="AX32" i="10" a="1"/>
  <c r="AX32" i="10" s="1"/>
  <c r="AX15" i="5" s="1"/>
  <c r="BF32" i="10" a="1"/>
  <c r="BF32" i="10" s="1"/>
  <c r="BF15" i="5" s="1"/>
  <c r="H15" i="5" s="1"/>
  <c r="BN32" i="10" a="1"/>
  <c r="BN32" i="10" s="1"/>
  <c r="BN15" i="5" s="1"/>
  <c r="BK32" i="10" a="1"/>
  <c r="BK32" i="10" s="1"/>
  <c r="BK15" i="5" s="1"/>
  <c r="W27" i="10" a="1"/>
  <c r="W27" i="10" s="1"/>
  <c r="W10" i="5" s="1"/>
  <c r="AM27" i="10" a="1"/>
  <c r="AM27" i="10" s="1"/>
  <c r="AM10" i="5" s="1"/>
  <c r="BC27" i="10" a="1"/>
  <c r="BC27" i="10" s="1"/>
  <c r="BC10" i="5" s="1"/>
  <c r="BK27" i="10" a="1"/>
  <c r="BK27" i="10" s="1"/>
  <c r="BK10" i="5" s="1"/>
  <c r="K28" i="10" a="1"/>
  <c r="K28" i="10" s="1"/>
  <c r="K11" i="5" s="1"/>
  <c r="S28" i="10" a="1"/>
  <c r="S28" i="10" s="1"/>
  <c r="S11" i="5" s="1"/>
  <c r="AA28" i="10" a="1"/>
  <c r="AA28" i="10" s="1"/>
  <c r="AA11" i="5" s="1"/>
  <c r="AI28" i="10" a="1"/>
  <c r="AI28" i="10" s="1"/>
  <c r="AI11" i="5" s="1"/>
  <c r="AQ28" i="10" a="1"/>
  <c r="AQ28" i="10" s="1"/>
  <c r="AQ11" i="5" s="1"/>
  <c r="AY28" i="10" a="1"/>
  <c r="AY28" i="10" s="1"/>
  <c r="AY11" i="5" s="1"/>
  <c r="BG28" i="10" a="1"/>
  <c r="BG28" i="10" s="1"/>
  <c r="BG11" i="5" s="1"/>
  <c r="BO28" i="10" a="1"/>
  <c r="BO28" i="10" s="1"/>
  <c r="BO11" i="5" s="1"/>
  <c r="O29" i="10" a="1"/>
  <c r="O29" i="10" s="1"/>
  <c r="O12" i="5" s="1"/>
  <c r="W29" i="10" a="1"/>
  <c r="W29" i="10" s="1"/>
  <c r="W12" i="5" s="1"/>
  <c r="AE29" i="10" a="1"/>
  <c r="AE29" i="10" s="1"/>
  <c r="AE12" i="5" s="1"/>
  <c r="AM29" i="10" a="1"/>
  <c r="AM29" i="10" s="1"/>
  <c r="AM12" i="5" s="1"/>
  <c r="AU29" i="10" a="1"/>
  <c r="AU29" i="10" s="1"/>
  <c r="AU12" i="5" s="1"/>
  <c r="BC29" i="10" a="1"/>
  <c r="BC29" i="10" s="1"/>
  <c r="BC12" i="5" s="1"/>
  <c r="BK29" i="10" a="1"/>
  <c r="BK29" i="10" s="1"/>
  <c r="BK12" i="5" s="1"/>
  <c r="K30" i="10" a="1"/>
  <c r="K30" i="10" s="1"/>
  <c r="K13" i="5" s="1"/>
  <c r="S30" i="10" a="1"/>
  <c r="S30" i="10" s="1"/>
  <c r="S13" i="5" s="1"/>
  <c r="AA30" i="10" a="1"/>
  <c r="AA30" i="10" s="1"/>
  <c r="AA13" i="5" s="1"/>
  <c r="AI30" i="10" a="1"/>
  <c r="AI30" i="10" s="1"/>
  <c r="AI13" i="5" s="1"/>
  <c r="AQ30" i="10" a="1"/>
  <c r="AQ30" i="10" s="1"/>
  <c r="AQ13" i="5" s="1"/>
  <c r="AY30" i="10" a="1"/>
  <c r="AY30" i="10" s="1"/>
  <c r="AY13" i="5" s="1"/>
  <c r="BG30" i="10" a="1"/>
  <c r="BG30" i="10" s="1"/>
  <c r="BG13" i="5" s="1"/>
  <c r="BO30" i="10" a="1"/>
  <c r="BO30" i="10" s="1"/>
  <c r="BO13" i="5" s="1"/>
  <c r="O31" i="10" a="1"/>
  <c r="O31" i="10" s="1"/>
  <c r="O14" i="5" s="1"/>
  <c r="W31" i="10" a="1"/>
  <c r="W31" i="10" s="1"/>
  <c r="W14" i="5" s="1"/>
  <c r="AE31" i="10" a="1"/>
  <c r="AE31" i="10" s="1"/>
  <c r="AE14" i="5" s="1"/>
  <c r="AM31" i="10" a="1"/>
  <c r="AM31" i="10" s="1"/>
  <c r="AM14" i="5" s="1"/>
  <c r="AU31" i="10" a="1"/>
  <c r="AU31" i="10" s="1"/>
  <c r="AU14" i="5" s="1"/>
  <c r="BC31" i="10" a="1"/>
  <c r="BC31" i="10" s="1"/>
  <c r="BC14" i="5" s="1"/>
  <c r="BK31" i="10" a="1"/>
  <c r="BK31" i="10" s="1"/>
  <c r="BK14" i="5" s="1"/>
  <c r="K32" i="10" a="1"/>
  <c r="K32" i="10" s="1"/>
  <c r="K15" i="5" s="1"/>
  <c r="S32" i="10" a="1"/>
  <c r="S32" i="10" s="1"/>
  <c r="S15" i="5" s="1"/>
  <c r="AA32" i="10" a="1"/>
  <c r="AA32" i="10" s="1"/>
  <c r="AA15" i="5" s="1"/>
  <c r="AI32" i="10" a="1"/>
  <c r="AI32" i="10" s="1"/>
  <c r="AI15" i="5" s="1"/>
  <c r="AQ32" i="10" a="1"/>
  <c r="AQ32" i="10" s="1"/>
  <c r="AQ15" i="5" s="1"/>
  <c r="AY32" i="10" a="1"/>
  <c r="AY32" i="10" s="1"/>
  <c r="AY15" i="5" s="1"/>
  <c r="BG32" i="10" a="1"/>
  <c r="BG32" i="10" s="1"/>
  <c r="BG15" i="5" s="1"/>
  <c r="BO32" i="10" a="1"/>
  <c r="BO32" i="10" s="1"/>
  <c r="BO15" i="5" s="1"/>
  <c r="W32" i="10" a="1"/>
  <c r="W32" i="10" s="1"/>
  <c r="W15" i="5" s="1"/>
  <c r="BC32" i="10" a="1"/>
  <c r="BC32" i="10" s="1"/>
  <c r="BC15" i="5" s="1"/>
  <c r="O27" i="10" a="1"/>
  <c r="O27" i="10" s="1"/>
  <c r="O10" i="5" s="1"/>
  <c r="AE27" i="10" a="1"/>
  <c r="AE27" i="10" s="1"/>
  <c r="AE10" i="5" s="1"/>
  <c r="AU27" i="10" a="1"/>
  <c r="AU27" i="10" s="1"/>
  <c r="AU10" i="5" s="1"/>
  <c r="P27" i="10" a="1"/>
  <c r="P27" i="10" s="1"/>
  <c r="P10" i="5" s="1"/>
  <c r="X27" i="10" a="1"/>
  <c r="X27" i="10" s="1"/>
  <c r="X10" i="5" s="1"/>
  <c r="AF27" i="10" a="1"/>
  <c r="AF27" i="10" s="1"/>
  <c r="AF10" i="5" s="1"/>
  <c r="AN27" i="10" a="1"/>
  <c r="AN27" i="10" s="1"/>
  <c r="AN10" i="5" s="1"/>
  <c r="AV27" i="10" a="1"/>
  <c r="AV27" i="10" s="1"/>
  <c r="AV10" i="5" s="1"/>
  <c r="BD27" i="10" a="1"/>
  <c r="BD27" i="10" s="1"/>
  <c r="BD10" i="5" s="1"/>
  <c r="BL27" i="10" a="1"/>
  <c r="BL27" i="10" s="1"/>
  <c r="BL10" i="5" s="1"/>
  <c r="L28" i="10" a="1"/>
  <c r="L28" i="10" s="1"/>
  <c r="L11" i="5" s="1"/>
  <c r="T28" i="10" a="1"/>
  <c r="T28" i="10" s="1"/>
  <c r="T11" i="5" s="1"/>
  <c r="AB28" i="10" a="1"/>
  <c r="AB28" i="10" s="1"/>
  <c r="AB11" i="5" s="1"/>
  <c r="AJ28" i="10" a="1"/>
  <c r="AJ28" i="10" s="1"/>
  <c r="AJ11" i="5" s="1"/>
  <c r="AR28" i="10" a="1"/>
  <c r="AR28" i="10" s="1"/>
  <c r="AR11" i="5" s="1"/>
  <c r="AZ28" i="10" a="1"/>
  <c r="AZ28" i="10" s="1"/>
  <c r="AZ11" i="5" s="1"/>
  <c r="BH28" i="10" a="1"/>
  <c r="BH28" i="10" s="1"/>
  <c r="BH11" i="5" s="1"/>
  <c r="BP28" i="10" a="1"/>
  <c r="BP28" i="10" s="1"/>
  <c r="BP11" i="5" s="1"/>
  <c r="P29" i="10" a="1"/>
  <c r="P29" i="10" s="1"/>
  <c r="P12" i="5" s="1"/>
  <c r="X29" i="10" a="1"/>
  <c r="X29" i="10" s="1"/>
  <c r="X12" i="5" s="1"/>
  <c r="AF29" i="10" a="1"/>
  <c r="AF29" i="10" s="1"/>
  <c r="AF12" i="5" s="1"/>
  <c r="AN29" i="10" a="1"/>
  <c r="AN29" i="10" s="1"/>
  <c r="AN12" i="5" s="1"/>
  <c r="AV29" i="10" a="1"/>
  <c r="AV29" i="10" s="1"/>
  <c r="AV12" i="5" s="1"/>
  <c r="BD29" i="10" a="1"/>
  <c r="BD29" i="10" s="1"/>
  <c r="BD12" i="5" s="1"/>
  <c r="BL29" i="10" a="1"/>
  <c r="BL29" i="10" s="1"/>
  <c r="BL12" i="5" s="1"/>
  <c r="L30" i="10" a="1"/>
  <c r="L30" i="10" s="1"/>
  <c r="L13" i="5" s="1"/>
  <c r="T30" i="10" a="1"/>
  <c r="T30" i="10" s="1"/>
  <c r="T13" i="5" s="1"/>
  <c r="AB30" i="10" a="1"/>
  <c r="AB30" i="10" s="1"/>
  <c r="AB13" i="5" s="1"/>
  <c r="AJ30" i="10" a="1"/>
  <c r="AJ30" i="10" s="1"/>
  <c r="AJ13" i="5" s="1"/>
  <c r="AR30" i="10" a="1"/>
  <c r="AR30" i="10" s="1"/>
  <c r="AR13" i="5" s="1"/>
  <c r="AZ30" i="10" a="1"/>
  <c r="AZ30" i="10" s="1"/>
  <c r="AZ13" i="5" s="1"/>
  <c r="BH30" i="10" a="1"/>
  <c r="BH30" i="10" s="1"/>
  <c r="BH13" i="5" s="1"/>
  <c r="BP30" i="10" a="1"/>
  <c r="BP30" i="10" s="1"/>
  <c r="BP13" i="5" s="1"/>
  <c r="P31" i="10" a="1"/>
  <c r="P31" i="10" s="1"/>
  <c r="P14" i="5" s="1"/>
  <c r="X31" i="10" a="1"/>
  <c r="X31" i="10" s="1"/>
  <c r="X14" i="5" s="1"/>
  <c r="AF31" i="10" a="1"/>
  <c r="AF31" i="10" s="1"/>
  <c r="AF14" i="5" s="1"/>
  <c r="AN31" i="10" a="1"/>
  <c r="AN31" i="10" s="1"/>
  <c r="AN14" i="5" s="1"/>
  <c r="AV31" i="10" a="1"/>
  <c r="AV31" i="10" s="1"/>
  <c r="AV14" i="5" s="1"/>
  <c r="BD31" i="10" a="1"/>
  <c r="BD31" i="10" s="1"/>
  <c r="BD14" i="5" s="1"/>
  <c r="BL31" i="10" a="1"/>
  <c r="BL31" i="10" s="1"/>
  <c r="BL14" i="5" s="1"/>
  <c r="L32" i="10" a="1"/>
  <c r="L32" i="10" s="1"/>
  <c r="L15" i="5" s="1"/>
  <c r="T32" i="10" a="1"/>
  <c r="T32" i="10" s="1"/>
  <c r="T15" i="5" s="1"/>
  <c r="AB32" i="10" a="1"/>
  <c r="AB32" i="10" s="1"/>
  <c r="AB15" i="5" s="1"/>
  <c r="AJ32" i="10" a="1"/>
  <c r="AJ32" i="10" s="1"/>
  <c r="AJ15" i="5" s="1"/>
  <c r="AR32" i="10" a="1"/>
  <c r="AR32" i="10" s="1"/>
  <c r="AR15" i="5" s="1"/>
  <c r="AZ32" i="10" a="1"/>
  <c r="AZ32" i="10" s="1"/>
  <c r="AZ15" i="5" s="1"/>
  <c r="BH32" i="10" a="1"/>
  <c r="BH32" i="10" s="1"/>
  <c r="BH15" i="5" s="1"/>
  <c r="BP32" i="10" a="1"/>
  <c r="BP32" i="10" s="1"/>
  <c r="BP15" i="5" s="1"/>
  <c r="Q27" i="10" a="1"/>
  <c r="Q27" i="10" s="1"/>
  <c r="Q10" i="5" s="1"/>
  <c r="Y27" i="10" a="1"/>
  <c r="Y27" i="10" s="1"/>
  <c r="Y10" i="5" s="1"/>
  <c r="AG27" i="10" a="1"/>
  <c r="AG27" i="10" s="1"/>
  <c r="AG10" i="5" s="1"/>
  <c r="AO27" i="10" a="1"/>
  <c r="AO27" i="10" s="1"/>
  <c r="AO10" i="5" s="1"/>
  <c r="AW27" i="10" a="1"/>
  <c r="AW27" i="10" s="1"/>
  <c r="AW10" i="5" s="1"/>
  <c r="BE27" i="10" a="1"/>
  <c r="BE27" i="10" s="1"/>
  <c r="BE10" i="5" s="1"/>
  <c r="BM27" i="10" a="1"/>
  <c r="BM27" i="10" s="1"/>
  <c r="BM10" i="5" s="1"/>
  <c r="M28" i="10" a="1"/>
  <c r="M28" i="10" s="1"/>
  <c r="M11" i="5" s="1"/>
  <c r="U28" i="10" a="1"/>
  <c r="U28" i="10" s="1"/>
  <c r="U11" i="5" s="1"/>
  <c r="AC28" i="10" a="1"/>
  <c r="AC28" i="10" s="1"/>
  <c r="AC11" i="5" s="1"/>
  <c r="AK28" i="10" a="1"/>
  <c r="AK28" i="10" s="1"/>
  <c r="AK11" i="5" s="1"/>
  <c r="AS28" i="10" a="1"/>
  <c r="AS28" i="10" s="1"/>
  <c r="AS11" i="5" s="1"/>
  <c r="BA28" i="10" a="1"/>
  <c r="BA28" i="10" s="1"/>
  <c r="BA11" i="5" s="1"/>
  <c r="BI28" i="10" a="1"/>
  <c r="BI28" i="10" s="1"/>
  <c r="BI11" i="5" s="1"/>
  <c r="BQ28" i="10" a="1"/>
  <c r="BQ28" i="10" s="1"/>
  <c r="BQ11" i="5" s="1"/>
  <c r="Q29" i="10" a="1"/>
  <c r="Q29" i="10" s="1"/>
  <c r="Q12" i="5" s="1"/>
  <c r="Y29" i="10" a="1"/>
  <c r="Y29" i="10" s="1"/>
  <c r="Y12" i="5" s="1"/>
  <c r="AG29" i="10" a="1"/>
  <c r="AG29" i="10" s="1"/>
  <c r="AG12" i="5" s="1"/>
  <c r="AO29" i="10" a="1"/>
  <c r="AO29" i="10" s="1"/>
  <c r="AO12" i="5" s="1"/>
  <c r="AW29" i="10" a="1"/>
  <c r="AW29" i="10" s="1"/>
  <c r="AW12" i="5" s="1"/>
  <c r="BE29" i="10" a="1"/>
  <c r="BE29" i="10" s="1"/>
  <c r="BE12" i="5" s="1"/>
  <c r="BM29" i="10" a="1"/>
  <c r="BM29" i="10" s="1"/>
  <c r="BM12" i="5" s="1"/>
  <c r="M30" i="10" a="1"/>
  <c r="M30" i="10" s="1"/>
  <c r="M13" i="5" s="1"/>
  <c r="U30" i="10" a="1"/>
  <c r="U30" i="10" s="1"/>
  <c r="U13" i="5" s="1"/>
  <c r="AC30" i="10" a="1"/>
  <c r="AC30" i="10" s="1"/>
  <c r="AC13" i="5" s="1"/>
  <c r="AK30" i="10" a="1"/>
  <c r="AK30" i="10" s="1"/>
  <c r="AK13" i="5" s="1"/>
  <c r="AS30" i="10" a="1"/>
  <c r="AS30" i="10" s="1"/>
  <c r="AS13" i="5" s="1"/>
  <c r="BA30" i="10" a="1"/>
  <c r="BA30" i="10" s="1"/>
  <c r="BA13" i="5" s="1"/>
  <c r="BI30" i="10" a="1"/>
  <c r="BI30" i="10" s="1"/>
  <c r="BI13" i="5" s="1"/>
  <c r="BQ30" i="10" a="1"/>
  <c r="BQ30" i="10" s="1"/>
  <c r="BQ13" i="5" s="1"/>
  <c r="Q31" i="10" a="1"/>
  <c r="Q31" i="10" s="1"/>
  <c r="Q14" i="5" s="1"/>
  <c r="Y31" i="10" a="1"/>
  <c r="Y31" i="10" s="1"/>
  <c r="Y14" i="5" s="1"/>
  <c r="AG31" i="10" a="1"/>
  <c r="AG31" i="10" s="1"/>
  <c r="AG14" i="5" s="1"/>
  <c r="AO31" i="10" a="1"/>
  <c r="AO31" i="10" s="1"/>
  <c r="AO14" i="5" s="1"/>
  <c r="AW31" i="10" a="1"/>
  <c r="AW31" i="10" s="1"/>
  <c r="AW14" i="5" s="1"/>
  <c r="BE31" i="10" a="1"/>
  <c r="BE31" i="10" s="1"/>
  <c r="BE14" i="5" s="1"/>
  <c r="BM31" i="10" a="1"/>
  <c r="BM31" i="10" s="1"/>
  <c r="BM14" i="5" s="1"/>
  <c r="M32" i="10" a="1"/>
  <c r="M32" i="10" s="1"/>
  <c r="M15" i="5" s="1"/>
  <c r="U32" i="10" a="1"/>
  <c r="U32" i="10" s="1"/>
  <c r="U15" i="5" s="1"/>
  <c r="AC32" i="10" a="1"/>
  <c r="AC32" i="10" s="1"/>
  <c r="AC15" i="5" s="1"/>
  <c r="AK32" i="10" a="1"/>
  <c r="AK32" i="10" s="1"/>
  <c r="AK15" i="5" s="1"/>
  <c r="AS32" i="10" a="1"/>
  <c r="AS32" i="10" s="1"/>
  <c r="AS15" i="5" s="1"/>
  <c r="BA32" i="10" a="1"/>
  <c r="BA32" i="10" s="1"/>
  <c r="BA15" i="5" s="1"/>
  <c r="BI32" i="10" a="1"/>
  <c r="BI32" i="10" s="1"/>
  <c r="BI15" i="5" s="1"/>
  <c r="BQ32" i="10" a="1"/>
  <c r="BQ32" i="10" s="1"/>
  <c r="BQ15" i="5" s="1"/>
  <c r="R27" i="10" a="1"/>
  <c r="R27" i="10" s="1"/>
  <c r="R10" i="5" s="1"/>
  <c r="Z27" i="10" a="1"/>
  <c r="Z27" i="10" s="1"/>
  <c r="Z10" i="5" s="1"/>
  <c r="AH27" i="10" a="1"/>
  <c r="AH27" i="10" s="1"/>
  <c r="AH10" i="5" s="1"/>
  <c r="F10" i="5" s="1"/>
  <c r="AP27" i="10" a="1"/>
  <c r="AP27" i="10" s="1"/>
  <c r="AP10" i="5" s="1"/>
  <c r="BF27" i="10" a="1"/>
  <c r="BF27" i="10" s="1"/>
  <c r="BF10" i="5" s="1"/>
  <c r="H10" i="5" s="1"/>
  <c r="BN27" i="10" a="1"/>
  <c r="BN27" i="10" s="1"/>
  <c r="BN10" i="5" s="1"/>
  <c r="N28" i="10" a="1"/>
  <c r="N28" i="10" s="1"/>
  <c r="N11" i="5" s="1"/>
  <c r="V28" i="10" a="1"/>
  <c r="V28" i="10" s="1"/>
  <c r="V11" i="5" s="1"/>
  <c r="E11" i="5" s="1"/>
  <c r="AD28" i="10" a="1"/>
  <c r="AD28" i="10" s="1"/>
  <c r="AD11" i="5" s="1"/>
  <c r="AL28" i="10" a="1"/>
  <c r="AL28" i="10" s="1"/>
  <c r="AL11" i="5" s="1"/>
  <c r="AT28" i="10" a="1"/>
  <c r="AT28" i="10" s="1"/>
  <c r="AT11" i="5" s="1"/>
  <c r="G11" i="5" s="1"/>
  <c r="BB28" i="10" a="1"/>
  <c r="BB28" i="10" s="1"/>
  <c r="BB11" i="5" s="1"/>
  <c r="BJ28" i="10" a="1"/>
  <c r="BJ28" i="10" s="1"/>
  <c r="BJ11" i="5" s="1"/>
  <c r="BR28" i="10" a="1"/>
  <c r="BR28" i="10" s="1"/>
  <c r="BR11" i="5" s="1"/>
  <c r="I11" i="5" s="1"/>
  <c r="R29" i="10" a="1"/>
  <c r="R29" i="10" s="1"/>
  <c r="R12" i="5" s="1"/>
  <c r="Z29" i="10" a="1"/>
  <c r="Z29" i="10" s="1"/>
  <c r="Z12" i="5" s="1"/>
  <c r="AH29" i="10" a="1"/>
  <c r="AH29" i="10" s="1"/>
  <c r="AH12" i="5" s="1"/>
  <c r="F12" i="5" s="1"/>
  <c r="AP29" i="10" a="1"/>
  <c r="AP29" i="10" s="1"/>
  <c r="AP12" i="5" s="1"/>
  <c r="AX29" i="10" a="1"/>
  <c r="AX29" i="10" s="1"/>
  <c r="AX12" i="5" s="1"/>
  <c r="BF29" i="10" a="1"/>
  <c r="BF29" i="10" s="1"/>
  <c r="BF12" i="5" s="1"/>
  <c r="H12" i="5" s="1"/>
  <c r="BN29" i="10" a="1"/>
  <c r="BN29" i="10" s="1"/>
  <c r="BN12" i="5" s="1"/>
  <c r="N30" i="10" a="1"/>
  <c r="N30" i="10" s="1"/>
  <c r="N13" i="5" s="1"/>
  <c r="V30" i="10" a="1"/>
  <c r="V30" i="10" s="1"/>
  <c r="V13" i="5" s="1"/>
  <c r="E13" i="5" s="1"/>
  <c r="AD30" i="10" a="1"/>
  <c r="AD30" i="10" s="1"/>
  <c r="AD13" i="5" s="1"/>
  <c r="AL30" i="10" a="1"/>
  <c r="AL30" i="10" s="1"/>
  <c r="AL13" i="5" s="1"/>
  <c r="AT30" i="10" a="1"/>
  <c r="AT30" i="10" s="1"/>
  <c r="AT13" i="5" s="1"/>
  <c r="G13" i="5" s="1"/>
  <c r="BB30" i="10" a="1"/>
  <c r="BB30" i="10" s="1"/>
  <c r="BB13" i="5" s="1"/>
  <c r="BJ30" i="10" a="1"/>
  <c r="BJ30" i="10" s="1"/>
  <c r="BJ13" i="5" s="1"/>
  <c r="BR30" i="10" a="1"/>
  <c r="BR30" i="10" s="1"/>
  <c r="BR13" i="5" s="1"/>
  <c r="I13" i="5" s="1"/>
  <c r="R31" i="10" a="1"/>
  <c r="R31" i="10" s="1"/>
  <c r="R14" i="5" s="1"/>
  <c r="Z31" i="10" a="1"/>
  <c r="Z31" i="10" s="1"/>
  <c r="Z14" i="5" s="1"/>
  <c r="AH31" i="10" a="1"/>
  <c r="AH31" i="10" s="1"/>
  <c r="AH14" i="5" s="1"/>
  <c r="F14" i="5" s="1"/>
  <c r="AP31" i="10" a="1"/>
  <c r="AP31" i="10" s="1"/>
  <c r="AP14" i="5" s="1"/>
  <c r="AX31" i="10" a="1"/>
  <c r="AX31" i="10" s="1"/>
  <c r="AX14" i="5" s="1"/>
  <c r="BF31" i="10" a="1"/>
  <c r="BF31" i="10" s="1"/>
  <c r="BF14" i="5" s="1"/>
  <c r="H14" i="5" s="1"/>
  <c r="BN31" i="10" a="1"/>
  <c r="BN31" i="10" s="1"/>
  <c r="BN14" i="5" s="1"/>
  <c r="N32" i="10" a="1"/>
  <c r="N32" i="10" s="1"/>
  <c r="N15" i="5" s="1"/>
  <c r="V32" i="10" a="1"/>
  <c r="V32" i="10" s="1"/>
  <c r="V15" i="5" s="1"/>
  <c r="E15" i="5" s="1"/>
  <c r="AD32" i="10" a="1"/>
  <c r="AD32" i="10" s="1"/>
  <c r="AD15" i="5" s="1"/>
  <c r="AL32" i="10" a="1"/>
  <c r="AL32" i="10" s="1"/>
  <c r="AL15" i="5" s="1"/>
  <c r="AT32" i="10" a="1"/>
  <c r="AT32" i="10" s="1"/>
  <c r="AT15" i="5" s="1"/>
  <c r="G15" i="5" s="1"/>
  <c r="BB32" i="10" a="1"/>
  <c r="BB32" i="10" s="1"/>
  <c r="BB15" i="5" s="1"/>
  <c r="BJ32" i="10" a="1"/>
  <c r="BJ32" i="10" s="1"/>
  <c r="BJ15" i="5" s="1"/>
  <c r="S9" i="1"/>
  <c r="V9" i="1" s="1"/>
  <c r="BR40" i="10" a="1"/>
  <c r="BR40" i="10" s="1"/>
  <c r="BQ40" i="10" a="1"/>
  <c r="BQ40" i="10" s="1"/>
  <c r="BP40" i="10" a="1"/>
  <c r="BP40" i="10" s="1"/>
  <c r="BO40" i="10" a="1"/>
  <c r="BO40" i="10" s="1"/>
  <c r="BN40" i="10" a="1"/>
  <c r="BN40" i="10" s="1"/>
  <c r="BM40" i="10" a="1"/>
  <c r="BM40" i="10" s="1"/>
  <c r="BL40" i="10" a="1"/>
  <c r="BL40" i="10" s="1"/>
  <c r="BK40" i="10" a="1"/>
  <c r="BK40" i="10" s="1"/>
  <c r="BJ40" i="10" a="1"/>
  <c r="BJ40" i="10" s="1"/>
  <c r="BI40" i="10" a="1"/>
  <c r="BI40" i="10" s="1"/>
  <c r="BH40" i="10" a="1"/>
  <c r="BH40" i="10" s="1"/>
  <c r="BG40" i="10" a="1"/>
  <c r="BG40" i="10" s="1"/>
  <c r="BF40" i="10" a="1"/>
  <c r="BF40" i="10" s="1"/>
  <c r="BE40" i="10" a="1"/>
  <c r="BE40" i="10" s="1"/>
  <c r="BD40" i="10" a="1"/>
  <c r="BD40" i="10" s="1"/>
  <c r="BC40" i="10" a="1"/>
  <c r="BC40" i="10" s="1"/>
  <c r="BB40" i="10" a="1"/>
  <c r="BB40" i="10" s="1"/>
  <c r="BA40" i="10" a="1"/>
  <c r="BA40" i="10" s="1"/>
  <c r="AZ40" i="10" a="1"/>
  <c r="AZ40" i="10" s="1"/>
  <c r="AY40" i="10" a="1"/>
  <c r="AY40" i="10" s="1"/>
  <c r="AX40" i="10" a="1"/>
  <c r="AX40" i="10" s="1"/>
  <c r="AW40" i="10" a="1"/>
  <c r="AW40" i="10" s="1"/>
  <c r="AV40" i="10" a="1"/>
  <c r="AV40" i="10" s="1"/>
  <c r="AU40" i="10" a="1"/>
  <c r="AU40" i="10" s="1"/>
  <c r="AT40" i="10" a="1"/>
  <c r="AT40" i="10" s="1"/>
  <c r="AS40" i="10" a="1"/>
  <c r="AS40" i="10" s="1"/>
  <c r="AR40" i="10" a="1"/>
  <c r="AR40" i="10" s="1"/>
  <c r="AQ40" i="10" a="1"/>
  <c r="AQ40" i="10" s="1"/>
  <c r="AP40" i="10" a="1"/>
  <c r="AP40" i="10" s="1"/>
  <c r="AO40" i="10" a="1"/>
  <c r="AO40" i="10" s="1"/>
  <c r="AN40" i="10" a="1"/>
  <c r="AN40" i="10" s="1"/>
  <c r="AM40" i="10" a="1"/>
  <c r="AM40" i="10" s="1"/>
  <c r="AL40" i="10" a="1"/>
  <c r="AL40" i="10" s="1"/>
  <c r="AK40" i="10" a="1"/>
  <c r="AK40" i="10" s="1"/>
  <c r="AJ40" i="10" a="1"/>
  <c r="AJ40" i="10" s="1"/>
  <c r="AI40" i="10" a="1"/>
  <c r="AI40" i="10" s="1"/>
  <c r="AH40" i="10" a="1"/>
  <c r="AH40" i="10" s="1"/>
  <c r="AG40" i="10" a="1"/>
  <c r="AG40" i="10" s="1"/>
  <c r="AF40" i="10" a="1"/>
  <c r="AF40" i="10" s="1"/>
  <c r="AE40" i="10" a="1"/>
  <c r="AE40" i="10" s="1"/>
  <c r="AD40" i="10" a="1"/>
  <c r="AD40" i="10" s="1"/>
  <c r="AC40" i="10" a="1"/>
  <c r="AC40" i="10" s="1"/>
  <c r="AB40" i="10" a="1"/>
  <c r="AB40" i="10" s="1"/>
  <c r="AA40" i="10" a="1"/>
  <c r="AA40" i="10" s="1"/>
  <c r="Z40" i="10" a="1"/>
  <c r="Z40" i="10" s="1"/>
  <c r="Y40" i="10" a="1"/>
  <c r="Y40" i="10" s="1"/>
  <c r="X40" i="10" a="1"/>
  <c r="X40" i="10" s="1"/>
  <c r="W40" i="10" a="1"/>
  <c r="W40" i="10" s="1"/>
  <c r="V40" i="10" a="1"/>
  <c r="V40" i="10" s="1"/>
  <c r="U40" i="10" a="1"/>
  <c r="U40" i="10" s="1"/>
  <c r="T40" i="10" a="1"/>
  <c r="T40" i="10" s="1"/>
  <c r="S40" i="10" a="1"/>
  <c r="S40" i="10" s="1"/>
  <c r="R40" i="10" a="1"/>
  <c r="R40" i="10" s="1"/>
  <c r="Q40" i="10" a="1"/>
  <c r="Q40" i="10" s="1"/>
  <c r="P40" i="10" a="1"/>
  <c r="P40" i="10" s="1"/>
  <c r="O40" i="10" a="1"/>
  <c r="O40" i="10" s="1"/>
  <c r="N40" i="10" a="1"/>
  <c r="N40" i="10" s="1"/>
  <c r="M40" i="10" a="1"/>
  <c r="M40" i="10" s="1"/>
  <c r="L40" i="10" a="1"/>
  <c r="L40" i="10" s="1"/>
  <c r="K40" i="10" a="1"/>
  <c r="K40" i="10" s="1"/>
  <c r="BR10" i="10" a="1"/>
  <c r="BR10" i="10" s="1"/>
  <c r="BQ10" i="10" a="1"/>
  <c r="BQ10" i="10" s="1"/>
  <c r="BP10" i="10" a="1"/>
  <c r="BP10" i="10" s="1"/>
  <c r="BO10" i="10" a="1"/>
  <c r="BO10" i="10" s="1"/>
  <c r="BN10" i="10" a="1"/>
  <c r="BN10" i="10" s="1"/>
  <c r="BM10" i="10" a="1"/>
  <c r="BM10" i="10" s="1"/>
  <c r="BL10" i="10" a="1"/>
  <c r="BL10" i="10" s="1"/>
  <c r="BK10" i="10" a="1"/>
  <c r="BK10" i="10" s="1"/>
  <c r="BJ10" i="10" a="1"/>
  <c r="BJ10" i="10" s="1"/>
  <c r="BI10" i="10" a="1"/>
  <c r="BI10" i="10" s="1"/>
  <c r="BH10" i="10" a="1"/>
  <c r="BH10" i="10" s="1"/>
  <c r="BG10" i="10" a="1"/>
  <c r="BG10" i="10" s="1"/>
  <c r="BF10" i="10" a="1"/>
  <c r="BF10" i="10" s="1"/>
  <c r="BE10" i="10" a="1"/>
  <c r="BE10" i="10" s="1"/>
  <c r="BD10" i="10" a="1"/>
  <c r="BD10" i="10" s="1"/>
  <c r="BC10" i="10" a="1"/>
  <c r="BC10" i="10" s="1"/>
  <c r="BB10" i="10" a="1"/>
  <c r="BB10" i="10" s="1"/>
  <c r="BA10" i="10" a="1"/>
  <c r="BA10" i="10" s="1"/>
  <c r="AZ10" i="10" a="1"/>
  <c r="AZ10" i="10" s="1"/>
  <c r="AY10" i="10" a="1"/>
  <c r="AY10" i="10" s="1"/>
  <c r="AX10" i="10" a="1"/>
  <c r="AX10" i="10" s="1"/>
  <c r="AW10" i="10" a="1"/>
  <c r="AW10" i="10" s="1"/>
  <c r="AV10" i="10" a="1"/>
  <c r="AV10" i="10" s="1"/>
  <c r="AU10" i="10" a="1"/>
  <c r="AU10" i="10" s="1"/>
  <c r="AT10" i="10" a="1"/>
  <c r="AT10" i="10" s="1"/>
  <c r="AS10" i="10" a="1"/>
  <c r="AS10" i="10" s="1"/>
  <c r="AR10" i="10" a="1"/>
  <c r="AR10" i="10" s="1"/>
  <c r="AQ10" i="10" a="1"/>
  <c r="AQ10" i="10" s="1"/>
  <c r="AP10" i="10" a="1"/>
  <c r="AP10" i="10" s="1"/>
  <c r="AO10" i="10" a="1"/>
  <c r="AO10" i="10" s="1"/>
  <c r="AN10" i="10" a="1"/>
  <c r="AN10" i="10" s="1"/>
  <c r="AM10" i="10" a="1"/>
  <c r="AM10" i="10" s="1"/>
  <c r="AL10" i="10" a="1"/>
  <c r="AL10" i="10" s="1"/>
  <c r="AK10" i="10" a="1"/>
  <c r="AK10" i="10" s="1"/>
  <c r="AJ10" i="10" a="1"/>
  <c r="AJ10" i="10" s="1"/>
  <c r="AI10" i="10" a="1"/>
  <c r="AI10" i="10" s="1"/>
  <c r="AH10" i="10" a="1"/>
  <c r="AH10" i="10" s="1"/>
  <c r="AG10" i="10" a="1"/>
  <c r="AG10" i="10" s="1"/>
  <c r="AF10" i="10" a="1"/>
  <c r="AF10" i="10" s="1"/>
  <c r="AE10" i="10" a="1"/>
  <c r="AE10" i="10" s="1"/>
  <c r="AD10" i="10" a="1"/>
  <c r="AD10" i="10" s="1"/>
  <c r="AC10" i="10" a="1"/>
  <c r="AC10" i="10" s="1"/>
  <c r="AB10" i="10" a="1"/>
  <c r="AB10" i="10" s="1"/>
  <c r="AA10" i="10" a="1"/>
  <c r="AA10" i="10" s="1"/>
  <c r="Z10" i="10" a="1"/>
  <c r="Z10" i="10" s="1"/>
  <c r="Y10" i="10" a="1"/>
  <c r="Y10" i="10" s="1"/>
  <c r="X10" i="10" a="1"/>
  <c r="X10" i="10" s="1"/>
  <c r="W10" i="10" a="1"/>
  <c r="W10" i="10" s="1"/>
  <c r="V10" i="10" a="1"/>
  <c r="V10" i="10" s="1"/>
  <c r="U10" i="10" a="1"/>
  <c r="U10" i="10" s="1"/>
  <c r="T10" i="10" a="1"/>
  <c r="T10" i="10" s="1"/>
  <c r="S10" i="10" a="1"/>
  <c r="S10" i="10" s="1"/>
  <c r="R10" i="10" a="1"/>
  <c r="R10" i="10" s="1"/>
  <c r="Q10" i="10" a="1"/>
  <c r="Q10" i="10" s="1"/>
  <c r="P10" i="10" a="1"/>
  <c r="P10" i="10" s="1"/>
  <c r="O10" i="10" a="1"/>
  <c r="O10" i="10" s="1"/>
  <c r="N10" i="10" a="1"/>
  <c r="N10" i="10" s="1"/>
  <c r="M10" i="10" a="1"/>
  <c r="M10" i="10" s="1"/>
  <c r="L10" i="10" a="1"/>
  <c r="L10" i="10" s="1"/>
  <c r="K10" i="10" a="1"/>
  <c r="K10" i="10" s="1"/>
  <c r="Q28" i="1"/>
  <c r="R28" i="1" s="1"/>
  <c r="Q29" i="1"/>
  <c r="Q30" i="1"/>
  <c r="R30" i="1" s="1"/>
  <c r="Q31" i="1"/>
  <c r="R31" i="1" s="1"/>
  <c r="Q33" i="1"/>
  <c r="R33" i="1" s="1"/>
  <c r="Q34" i="1"/>
  <c r="R34" i="1" s="1"/>
  <c r="Q35" i="1"/>
  <c r="R35" i="1" s="1"/>
  <c r="Q36" i="1"/>
  <c r="Q37" i="1"/>
  <c r="R37" i="1" s="1"/>
  <c r="Q38" i="1"/>
  <c r="Q39" i="1"/>
  <c r="R39" i="1" s="1"/>
  <c r="Q40" i="1"/>
  <c r="R40" i="1" s="1"/>
  <c r="Q41" i="1"/>
  <c r="R41" i="1" s="1"/>
  <c r="Q42" i="1"/>
  <c r="R42" i="1" s="1"/>
  <c r="Q43" i="1"/>
  <c r="R43" i="1" s="1"/>
  <c r="Q44" i="1"/>
  <c r="Q45" i="1"/>
  <c r="R45" i="1" s="1"/>
  <c r="Q46" i="1"/>
  <c r="Q47" i="1"/>
  <c r="R47" i="1" s="1"/>
  <c r="Q48" i="1"/>
  <c r="R48" i="1" s="1"/>
  <c r="Q49" i="1"/>
  <c r="R49" i="1" s="1"/>
  <c r="Q50" i="1"/>
  <c r="R50" i="1" s="1"/>
  <c r="Q51" i="1"/>
  <c r="R51" i="1" s="1"/>
  <c r="Q52" i="1"/>
  <c r="Q53" i="1"/>
  <c r="R53" i="1" s="1"/>
  <c r="Q54" i="1"/>
  <c r="Q55" i="1"/>
  <c r="R55" i="1" s="1"/>
  <c r="Q56" i="1"/>
  <c r="R56" i="1" s="1"/>
  <c r="Q57" i="1"/>
  <c r="R57" i="1" s="1"/>
  <c r="Q58" i="1"/>
  <c r="R58" i="1" s="1"/>
  <c r="Q59" i="1"/>
  <c r="R59" i="1" s="1"/>
  <c r="Q60" i="1"/>
  <c r="Q61" i="1"/>
  <c r="R61" i="1" s="1"/>
  <c r="Q62" i="1"/>
  <c r="Q63" i="1"/>
  <c r="R63" i="1" s="1"/>
  <c r="Q64" i="1"/>
  <c r="R64" i="1" s="1"/>
  <c r="Q65" i="1"/>
  <c r="R65" i="1" s="1"/>
  <c r="Q66" i="1"/>
  <c r="R66" i="1" s="1"/>
  <c r="Q67" i="1"/>
  <c r="R67" i="1" s="1"/>
  <c r="Q10" i="1"/>
  <c r="R10" i="1" s="1"/>
  <c r="Q11" i="1"/>
  <c r="R11" i="1" s="1"/>
  <c r="Q12" i="1"/>
  <c r="R12" i="1" s="1"/>
  <c r="Q13" i="1"/>
  <c r="R13" i="1" s="1"/>
  <c r="Q14" i="1"/>
  <c r="R14" i="1" s="1"/>
  <c r="Q15" i="1"/>
  <c r="R15" i="1" s="1"/>
  <c r="Q16" i="1"/>
  <c r="R16" i="1" s="1"/>
  <c r="Q17" i="1"/>
  <c r="R17" i="1" s="1"/>
  <c r="Q18" i="1"/>
  <c r="R18" i="1" s="1"/>
  <c r="Q19" i="1"/>
  <c r="R19" i="1" s="1"/>
  <c r="Q20" i="1"/>
  <c r="R20" i="1" s="1"/>
  <c r="Q21" i="1"/>
  <c r="R21" i="1" s="1"/>
  <c r="Q22" i="1"/>
  <c r="R22" i="1" s="1"/>
  <c r="Q23" i="1"/>
  <c r="R23" i="1" s="1"/>
  <c r="Q24" i="1"/>
  <c r="Q25" i="1"/>
  <c r="Q26" i="1"/>
  <c r="R26" i="1" s="1"/>
  <c r="Q27" i="1"/>
  <c r="R27" i="1" s="1"/>
  <c r="Q7" i="1"/>
  <c r="K16" i="5" l="1"/>
  <c r="U8" i="1"/>
  <c r="P33" i="10"/>
  <c r="S14" i="1"/>
  <c r="U14" i="1" s="1"/>
  <c r="S11" i="1"/>
  <c r="V11" i="1" s="1"/>
  <c r="U9" i="1"/>
  <c r="N33" i="10"/>
  <c r="R7" i="1"/>
  <c r="S51" i="1"/>
  <c r="V51" i="1" s="1"/>
  <c r="S47" i="1"/>
  <c r="V47" i="1" s="1"/>
  <c r="S21" i="1"/>
  <c r="V21" i="1" s="1"/>
  <c r="V14" i="1"/>
  <c r="S20" i="1"/>
  <c r="V20" i="1" s="1"/>
  <c r="S23" i="1"/>
  <c r="V23" i="1" s="1"/>
  <c r="S34" i="1"/>
  <c r="V34" i="1" s="1"/>
  <c r="S40" i="1"/>
  <c r="V40" i="1" s="1"/>
  <c r="S27" i="1"/>
  <c r="V27" i="1" s="1"/>
  <c r="S58" i="1"/>
  <c r="V58" i="1" s="1"/>
  <c r="S64" i="1"/>
  <c r="V64" i="1" s="1"/>
  <c r="S15" i="1"/>
  <c r="V15" i="1" s="1"/>
  <c r="S19" i="1"/>
  <c r="V19" i="1" s="1"/>
  <c r="S42" i="1"/>
  <c r="V42" i="1" s="1"/>
  <c r="S56" i="1"/>
  <c r="V56" i="1" s="1"/>
  <c r="S55" i="1"/>
  <c r="V55" i="1" s="1"/>
  <c r="S50" i="1"/>
  <c r="V50" i="1" s="1"/>
  <c r="S66" i="1"/>
  <c r="V66" i="1" s="1"/>
  <c r="S59" i="1"/>
  <c r="V59" i="1" s="1"/>
  <c r="S31" i="1"/>
  <c r="V31" i="1" s="1"/>
  <c r="S48" i="1"/>
  <c r="V48" i="1" s="1"/>
  <c r="S30" i="1"/>
  <c r="V30" i="1" s="1"/>
  <c r="S35" i="1"/>
  <c r="V35" i="1" s="1"/>
  <c r="S63" i="1"/>
  <c r="V63" i="1" s="1"/>
  <c r="S67" i="1"/>
  <c r="V67" i="1" s="1"/>
  <c r="S43" i="1"/>
  <c r="V43" i="1" s="1"/>
  <c r="S39" i="1"/>
  <c r="V39" i="1" s="1"/>
  <c r="S13" i="1"/>
  <c r="V13" i="1" s="1"/>
  <c r="S49" i="1"/>
  <c r="V49" i="1" s="1"/>
  <c r="S45" i="1"/>
  <c r="V45" i="1" s="1"/>
  <c r="S41" i="1"/>
  <c r="V41" i="1" s="1"/>
  <c r="S37" i="1"/>
  <c r="V37" i="1" s="1"/>
  <c r="S65" i="1"/>
  <c r="V65" i="1" s="1"/>
  <c r="S61" i="1"/>
  <c r="V61" i="1" s="1"/>
  <c r="S33" i="1"/>
  <c r="V33" i="1" s="1"/>
  <c r="S53" i="1"/>
  <c r="V53" i="1" s="1"/>
  <c r="S57" i="1"/>
  <c r="V57" i="1" s="1"/>
  <c r="S28" i="1"/>
  <c r="V28" i="1" s="1"/>
  <c r="R60" i="1"/>
  <c r="R52" i="1"/>
  <c r="R44" i="1"/>
  <c r="R36" i="1"/>
  <c r="R62" i="1"/>
  <c r="R54" i="1"/>
  <c r="R46" i="1"/>
  <c r="R38" i="1"/>
  <c r="R29" i="1"/>
  <c r="S22" i="1"/>
  <c r="V22" i="1" s="1"/>
  <c r="S26" i="1"/>
  <c r="V26" i="1" s="1"/>
  <c r="S18" i="1"/>
  <c r="V18" i="1" s="1"/>
  <c r="S10" i="1"/>
  <c r="V10" i="1" s="1"/>
  <c r="R24" i="1"/>
  <c r="R25" i="1"/>
  <c r="BR39" i="10" a="1"/>
  <c r="BR39" i="10" s="1"/>
  <c r="BQ39" i="10" a="1"/>
  <c r="BQ39" i="10" s="1"/>
  <c r="BP39" i="10" a="1"/>
  <c r="BP39" i="10" s="1"/>
  <c r="BO39" i="10" a="1"/>
  <c r="BO39" i="10" s="1"/>
  <c r="BN39" i="10" a="1"/>
  <c r="BN39" i="10" s="1"/>
  <c r="BM39" i="10" a="1"/>
  <c r="BM39" i="10" s="1"/>
  <c r="BL39" i="10" a="1"/>
  <c r="BL39" i="10" s="1"/>
  <c r="BK39" i="10" a="1"/>
  <c r="BK39" i="10" s="1"/>
  <c r="BJ39" i="10" a="1"/>
  <c r="BJ39" i="10" s="1"/>
  <c r="BI39" i="10" a="1"/>
  <c r="BI39" i="10" s="1"/>
  <c r="BH39" i="10" a="1"/>
  <c r="BH39" i="10" s="1"/>
  <c r="BG39" i="10" a="1"/>
  <c r="BG39" i="10" s="1"/>
  <c r="BF39" i="10" a="1"/>
  <c r="BF39" i="10" s="1"/>
  <c r="BE39" i="10" a="1"/>
  <c r="BE39" i="10" s="1"/>
  <c r="BD39" i="10" a="1"/>
  <c r="BD39" i="10" s="1"/>
  <c r="BC39" i="10" a="1"/>
  <c r="BC39" i="10" s="1"/>
  <c r="BB39" i="10" a="1"/>
  <c r="BB39" i="10" s="1"/>
  <c r="BA39" i="10" a="1"/>
  <c r="BA39" i="10" s="1"/>
  <c r="AZ39" i="10" a="1"/>
  <c r="AZ39" i="10" s="1"/>
  <c r="AY39" i="10" a="1"/>
  <c r="AY39" i="10" s="1"/>
  <c r="AX39" i="10" a="1"/>
  <c r="AX39" i="10" s="1"/>
  <c r="AW39" i="10" a="1"/>
  <c r="AW39" i="10" s="1"/>
  <c r="AV39" i="10" a="1"/>
  <c r="AV39" i="10" s="1"/>
  <c r="AU39" i="10" a="1"/>
  <c r="AU39" i="10" s="1"/>
  <c r="AT39" i="10" a="1"/>
  <c r="AT39" i="10" s="1"/>
  <c r="AS39" i="10" a="1"/>
  <c r="AS39" i="10" s="1"/>
  <c r="AR39" i="10" a="1"/>
  <c r="AR39" i="10" s="1"/>
  <c r="AQ39" i="10" a="1"/>
  <c r="AQ39" i="10" s="1"/>
  <c r="AP39" i="10" a="1"/>
  <c r="AP39" i="10" s="1"/>
  <c r="AO39" i="10" a="1"/>
  <c r="AO39" i="10" s="1"/>
  <c r="AN39" i="10" a="1"/>
  <c r="AN39" i="10" s="1"/>
  <c r="AM39" i="10" a="1"/>
  <c r="AM39" i="10" s="1"/>
  <c r="AL39" i="10" a="1"/>
  <c r="AL39" i="10" s="1"/>
  <c r="AK39" i="10" a="1"/>
  <c r="AK39" i="10" s="1"/>
  <c r="AJ39" i="10" a="1"/>
  <c r="AJ39" i="10" s="1"/>
  <c r="AI39" i="10" a="1"/>
  <c r="AI39" i="10" s="1"/>
  <c r="AH39" i="10" a="1"/>
  <c r="AH39" i="10" s="1"/>
  <c r="AG39" i="10" a="1"/>
  <c r="AG39" i="10" s="1"/>
  <c r="AF39" i="10" a="1"/>
  <c r="AF39" i="10" s="1"/>
  <c r="AE39" i="10" a="1"/>
  <c r="AE39" i="10" s="1"/>
  <c r="AD39" i="10" a="1"/>
  <c r="AD39" i="10" s="1"/>
  <c r="AC39" i="10" a="1"/>
  <c r="AC39" i="10" s="1"/>
  <c r="AB39" i="10" a="1"/>
  <c r="AB39" i="10" s="1"/>
  <c r="AA39" i="10" a="1"/>
  <c r="AA39" i="10" s="1"/>
  <c r="Z39" i="10" a="1"/>
  <c r="Z39" i="10" s="1"/>
  <c r="Y39" i="10" a="1"/>
  <c r="Y39" i="10" s="1"/>
  <c r="X39" i="10" a="1"/>
  <c r="X39" i="10" s="1"/>
  <c r="W39" i="10" a="1"/>
  <c r="W39" i="10" s="1"/>
  <c r="V39" i="10" a="1"/>
  <c r="V39" i="10" s="1"/>
  <c r="U39" i="10" a="1"/>
  <c r="U39" i="10" s="1"/>
  <c r="T39" i="10" a="1"/>
  <c r="T39" i="10" s="1"/>
  <c r="S39" i="10" a="1"/>
  <c r="S39" i="10" s="1"/>
  <c r="R39" i="10" a="1"/>
  <c r="R39" i="10" s="1"/>
  <c r="Q39" i="10" a="1"/>
  <c r="Q39" i="10" s="1"/>
  <c r="P39" i="10" a="1"/>
  <c r="P39" i="10" s="1"/>
  <c r="O39" i="10" a="1"/>
  <c r="O39" i="10" s="1"/>
  <c r="N39" i="10" a="1"/>
  <c r="N39" i="10" s="1"/>
  <c r="M39" i="10" a="1"/>
  <c r="M39" i="10" s="1"/>
  <c r="L39" i="10" a="1"/>
  <c r="L39" i="10" s="1"/>
  <c r="K39" i="10" a="1"/>
  <c r="K39" i="10" s="1"/>
  <c r="BR38" i="10" a="1"/>
  <c r="BR38" i="10" s="1"/>
  <c r="BQ38" i="10" a="1"/>
  <c r="BQ38" i="10" s="1"/>
  <c r="BP38" i="10" a="1"/>
  <c r="BP38" i="10" s="1"/>
  <c r="BO38" i="10" a="1"/>
  <c r="BO38" i="10" s="1"/>
  <c r="BN38" i="10" a="1"/>
  <c r="BN38" i="10" s="1"/>
  <c r="BM38" i="10" a="1"/>
  <c r="BM38" i="10" s="1"/>
  <c r="BL38" i="10" a="1"/>
  <c r="BL38" i="10" s="1"/>
  <c r="BK38" i="10" a="1"/>
  <c r="BK38" i="10" s="1"/>
  <c r="BJ38" i="10" a="1"/>
  <c r="BJ38" i="10" s="1"/>
  <c r="BI38" i="10" a="1"/>
  <c r="BI38" i="10" s="1"/>
  <c r="BH38" i="10" a="1"/>
  <c r="BH38" i="10" s="1"/>
  <c r="BG38" i="10" a="1"/>
  <c r="BG38" i="10" s="1"/>
  <c r="BF38" i="10" a="1"/>
  <c r="BF38" i="10" s="1"/>
  <c r="BE38" i="10" a="1"/>
  <c r="BE38" i="10" s="1"/>
  <c r="BD38" i="10" a="1"/>
  <c r="BD38" i="10" s="1"/>
  <c r="BC38" i="10" a="1"/>
  <c r="BC38" i="10" s="1"/>
  <c r="BB38" i="10" a="1"/>
  <c r="BB38" i="10" s="1"/>
  <c r="BA38" i="10" a="1"/>
  <c r="BA38" i="10" s="1"/>
  <c r="AZ38" i="10" a="1"/>
  <c r="AZ38" i="10" s="1"/>
  <c r="AY38" i="10" a="1"/>
  <c r="AY38" i="10" s="1"/>
  <c r="AX38" i="10" a="1"/>
  <c r="AX38" i="10" s="1"/>
  <c r="AW38" i="10" a="1"/>
  <c r="AW38" i="10" s="1"/>
  <c r="AV38" i="10" a="1"/>
  <c r="AV38" i="10" s="1"/>
  <c r="AU38" i="10" a="1"/>
  <c r="AU38" i="10" s="1"/>
  <c r="AT38" i="10" a="1"/>
  <c r="AT38" i="10" s="1"/>
  <c r="AS38" i="10" a="1"/>
  <c r="AS38" i="10" s="1"/>
  <c r="AR38" i="10" a="1"/>
  <c r="AR38" i="10" s="1"/>
  <c r="AQ38" i="10" a="1"/>
  <c r="AQ38" i="10" s="1"/>
  <c r="AP38" i="10" a="1"/>
  <c r="AP38" i="10" s="1"/>
  <c r="AO38" i="10" a="1"/>
  <c r="AO38" i="10" s="1"/>
  <c r="AN38" i="10" a="1"/>
  <c r="AN38" i="10" s="1"/>
  <c r="AM38" i="10" a="1"/>
  <c r="AM38" i="10" s="1"/>
  <c r="AL38" i="10" a="1"/>
  <c r="AL38" i="10" s="1"/>
  <c r="AK38" i="10" a="1"/>
  <c r="AK38" i="10" s="1"/>
  <c r="AJ38" i="10" a="1"/>
  <c r="AJ38" i="10" s="1"/>
  <c r="AI38" i="10" a="1"/>
  <c r="AI38" i="10" s="1"/>
  <c r="AH38" i="10" a="1"/>
  <c r="AH38" i="10" s="1"/>
  <c r="AG38" i="10" a="1"/>
  <c r="AG38" i="10" s="1"/>
  <c r="AF38" i="10" a="1"/>
  <c r="AF38" i="10" s="1"/>
  <c r="AE38" i="10" a="1"/>
  <c r="AE38" i="10" s="1"/>
  <c r="AD38" i="10" a="1"/>
  <c r="AD38" i="10" s="1"/>
  <c r="AC38" i="10" a="1"/>
  <c r="AC38" i="10" s="1"/>
  <c r="AB38" i="10" a="1"/>
  <c r="AB38" i="10" s="1"/>
  <c r="AA38" i="10" a="1"/>
  <c r="AA38" i="10" s="1"/>
  <c r="Z38" i="10" a="1"/>
  <c r="Z38" i="10" s="1"/>
  <c r="Y38" i="10" a="1"/>
  <c r="Y38" i="10" s="1"/>
  <c r="X38" i="10" a="1"/>
  <c r="X38" i="10" s="1"/>
  <c r="W38" i="10" a="1"/>
  <c r="W38" i="10" s="1"/>
  <c r="V38" i="10" a="1"/>
  <c r="V38" i="10" s="1"/>
  <c r="U38" i="10" a="1"/>
  <c r="U38" i="10" s="1"/>
  <c r="T38" i="10" a="1"/>
  <c r="T38" i="10" s="1"/>
  <c r="S38" i="10" a="1"/>
  <c r="S38" i="10" s="1"/>
  <c r="R38" i="10" a="1"/>
  <c r="R38" i="10" s="1"/>
  <c r="Q38" i="10" a="1"/>
  <c r="Q38" i="10" s="1"/>
  <c r="P38" i="10" a="1"/>
  <c r="P38" i="10" s="1"/>
  <c r="O38" i="10" a="1"/>
  <c r="O38" i="10" s="1"/>
  <c r="N38" i="10" a="1"/>
  <c r="N38" i="10" s="1"/>
  <c r="M38" i="10" a="1"/>
  <c r="M38" i="10" s="1"/>
  <c r="L38" i="10" a="1"/>
  <c r="L38" i="10" s="1"/>
  <c r="K38" i="10" a="1"/>
  <c r="K38" i="10" s="1"/>
  <c r="BR37" i="10" a="1"/>
  <c r="BR37" i="10" s="1"/>
  <c r="BQ37" i="10" a="1"/>
  <c r="BQ37" i="10" s="1"/>
  <c r="BP37" i="10" a="1"/>
  <c r="BP37" i="10" s="1"/>
  <c r="BO37" i="10" a="1"/>
  <c r="BO37" i="10" s="1"/>
  <c r="BN37" i="10" a="1"/>
  <c r="BN37" i="10" s="1"/>
  <c r="BM37" i="10" a="1"/>
  <c r="BM37" i="10" s="1"/>
  <c r="BL37" i="10" a="1"/>
  <c r="BL37" i="10" s="1"/>
  <c r="BK37" i="10" a="1"/>
  <c r="BK37" i="10" s="1"/>
  <c r="BJ37" i="10" a="1"/>
  <c r="BJ37" i="10" s="1"/>
  <c r="BI37" i="10" a="1"/>
  <c r="BI37" i="10" s="1"/>
  <c r="BH37" i="10" a="1"/>
  <c r="BH37" i="10" s="1"/>
  <c r="BG37" i="10" a="1"/>
  <c r="BG37" i="10" s="1"/>
  <c r="BF37" i="10" a="1"/>
  <c r="BF37" i="10" s="1"/>
  <c r="BE37" i="10" a="1"/>
  <c r="BE37" i="10" s="1"/>
  <c r="BD37" i="10" a="1"/>
  <c r="BD37" i="10" s="1"/>
  <c r="BC37" i="10" a="1"/>
  <c r="BC37" i="10" s="1"/>
  <c r="BB37" i="10" a="1"/>
  <c r="BB37" i="10" s="1"/>
  <c r="BA37" i="10" a="1"/>
  <c r="BA37" i="10" s="1"/>
  <c r="AZ37" i="10" a="1"/>
  <c r="AZ37" i="10" s="1"/>
  <c r="AY37" i="10" a="1"/>
  <c r="AY37" i="10" s="1"/>
  <c r="AX37" i="10" a="1"/>
  <c r="AX37" i="10" s="1"/>
  <c r="AW37" i="10" a="1"/>
  <c r="AW37" i="10" s="1"/>
  <c r="AV37" i="10" a="1"/>
  <c r="AV37" i="10" s="1"/>
  <c r="AU37" i="10" a="1"/>
  <c r="AU37" i="10" s="1"/>
  <c r="AT37" i="10" a="1"/>
  <c r="AT37" i="10" s="1"/>
  <c r="AS37" i="10" a="1"/>
  <c r="AS37" i="10" s="1"/>
  <c r="AR37" i="10" a="1"/>
  <c r="AR37" i="10" s="1"/>
  <c r="AQ37" i="10" a="1"/>
  <c r="AQ37" i="10" s="1"/>
  <c r="AP37" i="10" a="1"/>
  <c r="AP37" i="10" s="1"/>
  <c r="AO37" i="10" a="1"/>
  <c r="AO37" i="10" s="1"/>
  <c r="AN37" i="10" a="1"/>
  <c r="AN37" i="10" s="1"/>
  <c r="AM37" i="10" a="1"/>
  <c r="AM37" i="10" s="1"/>
  <c r="AL37" i="10" a="1"/>
  <c r="AL37" i="10" s="1"/>
  <c r="AK37" i="10" a="1"/>
  <c r="AK37" i="10" s="1"/>
  <c r="AJ37" i="10" a="1"/>
  <c r="AJ37" i="10" s="1"/>
  <c r="AI37" i="10" a="1"/>
  <c r="AI37" i="10" s="1"/>
  <c r="AH37" i="10" a="1"/>
  <c r="AH37" i="10" s="1"/>
  <c r="AG37" i="10" a="1"/>
  <c r="AG37" i="10" s="1"/>
  <c r="AF37" i="10" a="1"/>
  <c r="AF37" i="10" s="1"/>
  <c r="AE37" i="10" a="1"/>
  <c r="AE37" i="10" s="1"/>
  <c r="AD37" i="10" a="1"/>
  <c r="AD37" i="10" s="1"/>
  <c r="AC37" i="10" a="1"/>
  <c r="AC37" i="10" s="1"/>
  <c r="AB37" i="10" a="1"/>
  <c r="AB37" i="10" s="1"/>
  <c r="AA37" i="10" a="1"/>
  <c r="AA37" i="10" s="1"/>
  <c r="Z37" i="10" a="1"/>
  <c r="Z37" i="10" s="1"/>
  <c r="Y37" i="10" a="1"/>
  <c r="Y37" i="10" s="1"/>
  <c r="X37" i="10" a="1"/>
  <c r="X37" i="10" s="1"/>
  <c r="W37" i="10" a="1"/>
  <c r="W37" i="10" s="1"/>
  <c r="V37" i="10" a="1"/>
  <c r="V37" i="10" s="1"/>
  <c r="U37" i="10" a="1"/>
  <c r="U37" i="10" s="1"/>
  <c r="T37" i="10" a="1"/>
  <c r="T37" i="10" s="1"/>
  <c r="S37" i="10" a="1"/>
  <c r="S37" i="10" s="1"/>
  <c r="R37" i="10" a="1"/>
  <c r="R37" i="10" s="1"/>
  <c r="Q37" i="10" a="1"/>
  <c r="Q37" i="10" s="1"/>
  <c r="P37" i="10" a="1"/>
  <c r="P37" i="10" s="1"/>
  <c r="O37" i="10" a="1"/>
  <c r="O37" i="10" s="1"/>
  <c r="N37" i="10" a="1"/>
  <c r="N37" i="10" s="1"/>
  <c r="M37" i="10" a="1"/>
  <c r="M37" i="10" s="1"/>
  <c r="L37" i="10" a="1"/>
  <c r="L37" i="10" s="1"/>
  <c r="K37" i="10" a="1"/>
  <c r="K37" i="10" s="1"/>
  <c r="BR36" i="10" a="1"/>
  <c r="BR36" i="10" s="1"/>
  <c r="BQ36" i="10" a="1"/>
  <c r="BQ36" i="10" s="1"/>
  <c r="BP36" i="10" a="1"/>
  <c r="BP36" i="10" s="1"/>
  <c r="BO36" i="10" a="1"/>
  <c r="BO36" i="10" s="1"/>
  <c r="BN36" i="10" a="1"/>
  <c r="BN36" i="10" s="1"/>
  <c r="BM36" i="10" a="1"/>
  <c r="BM36" i="10" s="1"/>
  <c r="BL36" i="10" a="1"/>
  <c r="BL36" i="10" s="1"/>
  <c r="BK36" i="10" a="1"/>
  <c r="BK36" i="10" s="1"/>
  <c r="BJ36" i="10" a="1"/>
  <c r="BJ36" i="10" s="1"/>
  <c r="BI36" i="10" a="1"/>
  <c r="BI36" i="10" s="1"/>
  <c r="BH36" i="10" a="1"/>
  <c r="BH36" i="10" s="1"/>
  <c r="BG36" i="10" a="1"/>
  <c r="BG36" i="10" s="1"/>
  <c r="BF36" i="10" a="1"/>
  <c r="BF36" i="10" s="1"/>
  <c r="BE36" i="10" a="1"/>
  <c r="BE36" i="10" s="1"/>
  <c r="BD36" i="10" a="1"/>
  <c r="BD36" i="10" s="1"/>
  <c r="BC36" i="10" a="1"/>
  <c r="BC36" i="10" s="1"/>
  <c r="BB36" i="10" a="1"/>
  <c r="BB36" i="10" s="1"/>
  <c r="BA36" i="10" a="1"/>
  <c r="BA36" i="10" s="1"/>
  <c r="AZ36" i="10" a="1"/>
  <c r="AZ36" i="10" s="1"/>
  <c r="AY36" i="10" a="1"/>
  <c r="AY36" i="10" s="1"/>
  <c r="AX36" i="10" a="1"/>
  <c r="AX36" i="10" s="1"/>
  <c r="AW36" i="10" a="1"/>
  <c r="AW36" i="10" s="1"/>
  <c r="AV36" i="10" a="1"/>
  <c r="AV36" i="10" s="1"/>
  <c r="AU36" i="10" a="1"/>
  <c r="AU36" i="10" s="1"/>
  <c r="AT36" i="10" a="1"/>
  <c r="AT36" i="10" s="1"/>
  <c r="AS36" i="10" a="1"/>
  <c r="AS36" i="10" s="1"/>
  <c r="AR36" i="10" a="1"/>
  <c r="AR36" i="10" s="1"/>
  <c r="AQ36" i="10" a="1"/>
  <c r="AQ36" i="10" s="1"/>
  <c r="AP36" i="10" a="1"/>
  <c r="AP36" i="10" s="1"/>
  <c r="AO36" i="10" a="1"/>
  <c r="AO36" i="10" s="1"/>
  <c r="AN36" i="10" a="1"/>
  <c r="AN36" i="10" s="1"/>
  <c r="AM36" i="10" a="1"/>
  <c r="AM36" i="10" s="1"/>
  <c r="AL36" i="10" a="1"/>
  <c r="AL36" i="10" s="1"/>
  <c r="AK36" i="10" a="1"/>
  <c r="AK36" i="10" s="1"/>
  <c r="AJ36" i="10" a="1"/>
  <c r="AJ36" i="10" s="1"/>
  <c r="AI36" i="10" a="1"/>
  <c r="AI36" i="10" s="1"/>
  <c r="AH36" i="10" a="1"/>
  <c r="AH36" i="10" s="1"/>
  <c r="AG36" i="10" a="1"/>
  <c r="AG36" i="10" s="1"/>
  <c r="AF36" i="10" a="1"/>
  <c r="AF36" i="10" s="1"/>
  <c r="AE36" i="10" a="1"/>
  <c r="AE36" i="10" s="1"/>
  <c r="AD36" i="10" a="1"/>
  <c r="AD36" i="10" s="1"/>
  <c r="AC36" i="10" a="1"/>
  <c r="AC36" i="10" s="1"/>
  <c r="AB36" i="10" a="1"/>
  <c r="AB36" i="10" s="1"/>
  <c r="AA36" i="10" a="1"/>
  <c r="AA36" i="10" s="1"/>
  <c r="Z36" i="10" a="1"/>
  <c r="Z36" i="10" s="1"/>
  <c r="Y36" i="10" a="1"/>
  <c r="Y36" i="10" s="1"/>
  <c r="X36" i="10" a="1"/>
  <c r="X36" i="10" s="1"/>
  <c r="W36" i="10" a="1"/>
  <c r="W36" i="10" s="1"/>
  <c r="V36" i="10" a="1"/>
  <c r="V36" i="10" s="1"/>
  <c r="U36" i="10" a="1"/>
  <c r="U36" i="10" s="1"/>
  <c r="T36" i="10" a="1"/>
  <c r="T36" i="10" s="1"/>
  <c r="S36" i="10" a="1"/>
  <c r="S36" i="10" s="1"/>
  <c r="R36" i="10" a="1"/>
  <c r="R36" i="10" s="1"/>
  <c r="Q36" i="10" a="1"/>
  <c r="Q36" i="10" s="1"/>
  <c r="P36" i="10" a="1"/>
  <c r="P36" i="10" s="1"/>
  <c r="O36" i="10" a="1"/>
  <c r="O36" i="10" s="1"/>
  <c r="N36" i="10" a="1"/>
  <c r="N36" i="10" s="1"/>
  <c r="M36" i="10" a="1"/>
  <c r="M36" i="10" s="1"/>
  <c r="L36" i="10" a="1"/>
  <c r="L36" i="10" s="1"/>
  <c r="K36" i="10" a="1"/>
  <c r="K36" i="10" s="1"/>
  <c r="U57" i="1" l="1"/>
  <c r="U45" i="1"/>
  <c r="U49" i="1"/>
  <c r="U11" i="1"/>
  <c r="U48" i="1"/>
  <c r="U50" i="1"/>
  <c r="U56" i="1"/>
  <c r="U67" i="1"/>
  <c r="U19" i="1"/>
  <c r="U27" i="1"/>
  <c r="U58" i="1"/>
  <c r="U65" i="1"/>
  <c r="U66" i="1"/>
  <c r="U10" i="1"/>
  <c r="U30" i="1"/>
  <c r="U64" i="1"/>
  <c r="U15" i="1"/>
  <c r="U18" i="1"/>
  <c r="U39" i="1"/>
  <c r="S7" i="1"/>
  <c r="V7" i="1" s="1"/>
  <c r="U23" i="1"/>
  <c r="U35" i="1"/>
  <c r="U26" i="1"/>
  <c r="U47" i="1"/>
  <c r="U20" i="1"/>
  <c r="U43" i="1"/>
  <c r="U37" i="1"/>
  <c r="U13" i="1"/>
  <c r="U63" i="1"/>
  <c r="U22" i="1"/>
  <c r="U33" i="1"/>
  <c r="U34" i="1"/>
  <c r="U51" i="1"/>
  <c r="U53" i="1"/>
  <c r="U21" i="1"/>
  <c r="U31" i="1"/>
  <c r="U55" i="1"/>
  <c r="U41" i="1"/>
  <c r="U42" i="1"/>
  <c r="U59" i="1"/>
  <c r="U61" i="1"/>
  <c r="U28" i="1"/>
  <c r="U40" i="1"/>
  <c r="M41" i="10"/>
  <c r="M25" i="6" s="1"/>
  <c r="M12" i="7" s="1"/>
  <c r="S12" i="1"/>
  <c r="U12" i="1" s="1"/>
  <c r="S44" i="1"/>
  <c r="V44" i="1" s="1"/>
  <c r="S46" i="1"/>
  <c r="V46" i="1" s="1"/>
  <c r="S52" i="1"/>
  <c r="V52" i="1" s="1"/>
  <c r="S36" i="1"/>
  <c r="V36" i="1" s="1"/>
  <c r="S60" i="1"/>
  <c r="V60" i="1" s="1"/>
  <c r="S38" i="1"/>
  <c r="V38" i="1" s="1"/>
  <c r="S54" i="1"/>
  <c r="V54" i="1" s="1"/>
  <c r="S29" i="1"/>
  <c r="V29" i="1" s="1"/>
  <c r="S62" i="1"/>
  <c r="V62" i="1" s="1"/>
  <c r="S17" i="1"/>
  <c r="S25" i="1"/>
  <c r="V25" i="1" s="1"/>
  <c r="S16" i="1"/>
  <c r="S24" i="1"/>
  <c r="V24" i="1" s="1"/>
  <c r="BR9" i="10" a="1"/>
  <c r="BR9" i="10" s="1"/>
  <c r="BQ9" i="10" a="1"/>
  <c r="BQ9" i="10" s="1"/>
  <c r="BP9" i="10" a="1"/>
  <c r="BP9" i="10" s="1"/>
  <c r="BO9" i="10" a="1"/>
  <c r="BO9" i="10" s="1"/>
  <c r="BN9" i="10" a="1"/>
  <c r="BN9" i="10" s="1"/>
  <c r="BM9" i="10" a="1"/>
  <c r="BM9" i="10" s="1"/>
  <c r="BL9" i="10" a="1"/>
  <c r="BL9" i="10" s="1"/>
  <c r="BK9" i="10" a="1"/>
  <c r="BK9" i="10" s="1"/>
  <c r="BJ9" i="10" a="1"/>
  <c r="BJ9" i="10" s="1"/>
  <c r="BI9" i="10" a="1"/>
  <c r="BI9" i="10" s="1"/>
  <c r="BH9" i="10" a="1"/>
  <c r="BH9" i="10" s="1"/>
  <c r="BG9" i="10" a="1"/>
  <c r="BG9" i="10" s="1"/>
  <c r="BF9" i="10" a="1"/>
  <c r="BF9" i="10" s="1"/>
  <c r="BE9" i="10" a="1"/>
  <c r="BE9" i="10" s="1"/>
  <c r="BD9" i="10" a="1"/>
  <c r="BD9" i="10" s="1"/>
  <c r="BC9" i="10" a="1"/>
  <c r="BC9" i="10" s="1"/>
  <c r="BB9" i="10" a="1"/>
  <c r="BB9" i="10" s="1"/>
  <c r="BA9" i="10" a="1"/>
  <c r="BA9" i="10" s="1"/>
  <c r="AZ9" i="10" a="1"/>
  <c r="AZ9" i="10" s="1"/>
  <c r="AY9" i="10" a="1"/>
  <c r="AY9" i="10" s="1"/>
  <c r="AX9" i="10" a="1"/>
  <c r="AX9" i="10" s="1"/>
  <c r="AW9" i="10" a="1"/>
  <c r="AW9" i="10" s="1"/>
  <c r="AV9" i="10" a="1"/>
  <c r="AV9" i="10" s="1"/>
  <c r="AU9" i="10" a="1"/>
  <c r="AU9" i="10" s="1"/>
  <c r="AT9" i="10" a="1"/>
  <c r="AT9" i="10" s="1"/>
  <c r="AS9" i="10" a="1"/>
  <c r="AS9" i="10" s="1"/>
  <c r="AR9" i="10" a="1"/>
  <c r="AR9" i="10" s="1"/>
  <c r="AQ9" i="10" a="1"/>
  <c r="AQ9" i="10" s="1"/>
  <c r="AP9" i="10" a="1"/>
  <c r="AP9" i="10" s="1"/>
  <c r="AO9" i="10" a="1"/>
  <c r="AO9" i="10" s="1"/>
  <c r="AN9" i="10" a="1"/>
  <c r="AN9" i="10" s="1"/>
  <c r="AM9" i="10" a="1"/>
  <c r="AM9" i="10" s="1"/>
  <c r="AL9" i="10" a="1"/>
  <c r="AL9" i="10" s="1"/>
  <c r="AK9" i="10" a="1"/>
  <c r="AK9" i="10" s="1"/>
  <c r="AJ9" i="10" a="1"/>
  <c r="AJ9" i="10" s="1"/>
  <c r="AI9" i="10" a="1"/>
  <c r="AI9" i="10" s="1"/>
  <c r="AH9" i="10" a="1"/>
  <c r="AH9" i="10" s="1"/>
  <c r="AG9" i="10" a="1"/>
  <c r="AG9" i="10" s="1"/>
  <c r="AF9" i="10" a="1"/>
  <c r="AF9" i="10" s="1"/>
  <c r="AE9" i="10" a="1"/>
  <c r="AE9" i="10" s="1"/>
  <c r="AD9" i="10" a="1"/>
  <c r="AD9" i="10" s="1"/>
  <c r="AC9" i="10" a="1"/>
  <c r="AC9" i="10" s="1"/>
  <c r="AB9" i="10" a="1"/>
  <c r="AB9" i="10" s="1"/>
  <c r="AA9" i="10" a="1"/>
  <c r="AA9" i="10" s="1"/>
  <c r="Z9" i="10" a="1"/>
  <c r="Z9" i="10" s="1"/>
  <c r="Y9" i="10" a="1"/>
  <c r="Y9" i="10" s="1"/>
  <c r="X9" i="10" a="1"/>
  <c r="X9" i="10" s="1"/>
  <c r="W9" i="10" a="1"/>
  <c r="W9" i="10" s="1"/>
  <c r="V9" i="10" a="1"/>
  <c r="V9" i="10" s="1"/>
  <c r="U9" i="10" a="1"/>
  <c r="U9" i="10" s="1"/>
  <c r="T9" i="10" a="1"/>
  <c r="T9" i="10" s="1"/>
  <c r="S9" i="10" a="1"/>
  <c r="S9" i="10" s="1"/>
  <c r="R9" i="10" a="1"/>
  <c r="R9" i="10" s="1"/>
  <c r="Q9" i="10" a="1"/>
  <c r="Q9" i="10" s="1"/>
  <c r="P9" i="10" a="1"/>
  <c r="P9" i="10" s="1"/>
  <c r="O9" i="10" a="1"/>
  <c r="O9" i="10" s="1"/>
  <c r="N9" i="10" a="1"/>
  <c r="N9" i="10" s="1"/>
  <c r="M9" i="10" a="1"/>
  <c r="M9" i="10" s="1"/>
  <c r="L9" i="10" a="1"/>
  <c r="L9" i="10" s="1"/>
  <c r="K9" i="10" a="1"/>
  <c r="K9" i="10" s="1"/>
  <c r="BR8" i="10" a="1"/>
  <c r="BR8" i="10" s="1"/>
  <c r="BQ8" i="10" a="1"/>
  <c r="BQ8" i="10" s="1"/>
  <c r="BP8" i="10" a="1"/>
  <c r="BP8" i="10" s="1"/>
  <c r="BO8" i="10" a="1"/>
  <c r="BO8" i="10" s="1"/>
  <c r="BN8" i="10" a="1"/>
  <c r="BN8" i="10" s="1"/>
  <c r="BM8" i="10" a="1"/>
  <c r="BM8" i="10" s="1"/>
  <c r="BL8" i="10" a="1"/>
  <c r="BL8" i="10" s="1"/>
  <c r="BK8" i="10" a="1"/>
  <c r="BK8" i="10" s="1"/>
  <c r="BJ8" i="10" a="1"/>
  <c r="BJ8" i="10" s="1"/>
  <c r="BI8" i="10" a="1"/>
  <c r="BI8" i="10" s="1"/>
  <c r="BH8" i="10" a="1"/>
  <c r="BH8" i="10" s="1"/>
  <c r="BG8" i="10" a="1"/>
  <c r="BG8" i="10" s="1"/>
  <c r="BF8" i="10" a="1"/>
  <c r="BF8" i="10" s="1"/>
  <c r="BE8" i="10" a="1"/>
  <c r="BE8" i="10" s="1"/>
  <c r="BD8" i="10" a="1"/>
  <c r="BD8" i="10" s="1"/>
  <c r="BC8" i="10" a="1"/>
  <c r="BC8" i="10" s="1"/>
  <c r="BB8" i="10" a="1"/>
  <c r="BB8" i="10" s="1"/>
  <c r="BA8" i="10" a="1"/>
  <c r="BA8" i="10" s="1"/>
  <c r="AZ8" i="10" a="1"/>
  <c r="AZ8" i="10" s="1"/>
  <c r="AY8" i="10" a="1"/>
  <c r="AY8" i="10" s="1"/>
  <c r="AX8" i="10" a="1"/>
  <c r="AX8" i="10" s="1"/>
  <c r="AW8" i="10" a="1"/>
  <c r="AW8" i="10" s="1"/>
  <c r="AV8" i="10" a="1"/>
  <c r="AV8" i="10" s="1"/>
  <c r="AU8" i="10" a="1"/>
  <c r="AU8" i="10" s="1"/>
  <c r="AT8" i="10" a="1"/>
  <c r="AT8" i="10" s="1"/>
  <c r="AS8" i="10" a="1"/>
  <c r="AS8" i="10" s="1"/>
  <c r="AR8" i="10" a="1"/>
  <c r="AR8" i="10" s="1"/>
  <c r="AQ8" i="10" a="1"/>
  <c r="AQ8" i="10" s="1"/>
  <c r="AP8" i="10" a="1"/>
  <c r="AP8" i="10" s="1"/>
  <c r="AO8" i="10" a="1"/>
  <c r="AO8" i="10" s="1"/>
  <c r="AN8" i="10" a="1"/>
  <c r="AN8" i="10" s="1"/>
  <c r="AM8" i="10" a="1"/>
  <c r="AM8" i="10" s="1"/>
  <c r="AL8" i="10" a="1"/>
  <c r="AL8" i="10" s="1"/>
  <c r="AK8" i="10" a="1"/>
  <c r="AK8" i="10" s="1"/>
  <c r="AJ8" i="10" a="1"/>
  <c r="AJ8" i="10" s="1"/>
  <c r="AI8" i="10" a="1"/>
  <c r="AI8" i="10" s="1"/>
  <c r="AH8" i="10" a="1"/>
  <c r="AH8" i="10" s="1"/>
  <c r="AG8" i="10" a="1"/>
  <c r="AG8" i="10" s="1"/>
  <c r="AF8" i="10" a="1"/>
  <c r="AF8" i="10" s="1"/>
  <c r="AE8" i="10" a="1"/>
  <c r="AE8" i="10" s="1"/>
  <c r="AD8" i="10" a="1"/>
  <c r="AD8" i="10" s="1"/>
  <c r="AC8" i="10" a="1"/>
  <c r="AC8" i="10" s="1"/>
  <c r="AB8" i="10" a="1"/>
  <c r="AB8" i="10" s="1"/>
  <c r="AA8" i="10" a="1"/>
  <c r="AA8" i="10" s="1"/>
  <c r="Z8" i="10" a="1"/>
  <c r="Z8" i="10" s="1"/>
  <c r="Y8" i="10" a="1"/>
  <c r="Y8" i="10" s="1"/>
  <c r="X8" i="10" a="1"/>
  <c r="X8" i="10" s="1"/>
  <c r="W8" i="10" a="1"/>
  <c r="W8" i="10" s="1"/>
  <c r="V8" i="10" a="1"/>
  <c r="V8" i="10" s="1"/>
  <c r="U8" i="10" a="1"/>
  <c r="U8" i="10" s="1"/>
  <c r="T8" i="10" a="1"/>
  <c r="T8" i="10" s="1"/>
  <c r="S8" i="10" a="1"/>
  <c r="S8" i="10" s="1"/>
  <c r="R8" i="10" a="1"/>
  <c r="R8" i="10" s="1"/>
  <c r="Q8" i="10" a="1"/>
  <c r="Q8" i="10" s="1"/>
  <c r="P8" i="10" a="1"/>
  <c r="P8" i="10" s="1"/>
  <c r="O8" i="10" a="1"/>
  <c r="O8" i="10" s="1"/>
  <c r="N8" i="10" a="1"/>
  <c r="N8" i="10" s="1"/>
  <c r="M8" i="10" a="1"/>
  <c r="M8" i="10" s="1"/>
  <c r="L8" i="10" a="1"/>
  <c r="L8" i="10" s="1"/>
  <c r="K8" i="10" a="1"/>
  <c r="K8" i="10" s="1"/>
  <c r="BR7" i="10" a="1"/>
  <c r="BR7" i="10" s="1"/>
  <c r="BQ7" i="10" a="1"/>
  <c r="BQ7" i="10" s="1"/>
  <c r="BP7" i="10" a="1"/>
  <c r="BP7" i="10" s="1"/>
  <c r="BO7" i="10" a="1"/>
  <c r="BO7" i="10" s="1"/>
  <c r="BN7" i="10" a="1"/>
  <c r="BN7" i="10" s="1"/>
  <c r="BM7" i="10" a="1"/>
  <c r="BM7" i="10" s="1"/>
  <c r="BL7" i="10" a="1"/>
  <c r="BL7" i="10" s="1"/>
  <c r="BK7" i="10" a="1"/>
  <c r="BK7" i="10" s="1"/>
  <c r="BJ7" i="10" a="1"/>
  <c r="BJ7" i="10" s="1"/>
  <c r="BI7" i="10" a="1"/>
  <c r="BI7" i="10" s="1"/>
  <c r="BH7" i="10" a="1"/>
  <c r="BH7" i="10" s="1"/>
  <c r="BG7" i="10" a="1"/>
  <c r="BG7" i="10" s="1"/>
  <c r="BF7" i="10" a="1"/>
  <c r="BF7" i="10" s="1"/>
  <c r="BE7" i="10" a="1"/>
  <c r="BE7" i="10" s="1"/>
  <c r="BD7" i="10" a="1"/>
  <c r="BD7" i="10" s="1"/>
  <c r="BC7" i="10" a="1"/>
  <c r="BC7" i="10" s="1"/>
  <c r="BB7" i="10" a="1"/>
  <c r="BB7" i="10" s="1"/>
  <c r="BA7" i="10" a="1"/>
  <c r="BA7" i="10" s="1"/>
  <c r="AZ7" i="10" a="1"/>
  <c r="AZ7" i="10" s="1"/>
  <c r="AY7" i="10" a="1"/>
  <c r="AY7" i="10" s="1"/>
  <c r="AX7" i="10" a="1"/>
  <c r="AX7" i="10" s="1"/>
  <c r="AW7" i="10" a="1"/>
  <c r="AW7" i="10" s="1"/>
  <c r="AV7" i="10" a="1"/>
  <c r="AV7" i="10" s="1"/>
  <c r="AU7" i="10" a="1"/>
  <c r="AU7" i="10" s="1"/>
  <c r="AT7" i="10" a="1"/>
  <c r="AT7" i="10" s="1"/>
  <c r="AS7" i="10" a="1"/>
  <c r="AS7" i="10" s="1"/>
  <c r="AR7" i="10" a="1"/>
  <c r="AR7" i="10" s="1"/>
  <c r="AQ7" i="10" a="1"/>
  <c r="AQ7" i="10" s="1"/>
  <c r="AP7" i="10" a="1"/>
  <c r="AP7" i="10" s="1"/>
  <c r="AO7" i="10" a="1"/>
  <c r="AO7" i="10" s="1"/>
  <c r="AN7" i="10" a="1"/>
  <c r="AN7" i="10" s="1"/>
  <c r="AM7" i="10" a="1"/>
  <c r="AM7" i="10" s="1"/>
  <c r="AL7" i="10" a="1"/>
  <c r="AL7" i="10" s="1"/>
  <c r="AK7" i="10" a="1"/>
  <c r="AK7" i="10" s="1"/>
  <c r="AJ7" i="10" a="1"/>
  <c r="AJ7" i="10" s="1"/>
  <c r="AI7" i="10" a="1"/>
  <c r="AI7" i="10" s="1"/>
  <c r="AH7" i="10" a="1"/>
  <c r="AH7" i="10" s="1"/>
  <c r="AG7" i="10" a="1"/>
  <c r="AG7" i="10" s="1"/>
  <c r="AF7" i="10" a="1"/>
  <c r="AF7" i="10" s="1"/>
  <c r="AE7" i="10" a="1"/>
  <c r="AE7" i="10" s="1"/>
  <c r="AD7" i="10" a="1"/>
  <c r="AD7" i="10" s="1"/>
  <c r="AC7" i="10" a="1"/>
  <c r="AC7" i="10" s="1"/>
  <c r="AB7" i="10" a="1"/>
  <c r="AB7" i="10" s="1"/>
  <c r="AA7" i="10" a="1"/>
  <c r="AA7" i="10" s="1"/>
  <c r="Z7" i="10" a="1"/>
  <c r="Z7" i="10" s="1"/>
  <c r="Y7" i="10" a="1"/>
  <c r="Y7" i="10" s="1"/>
  <c r="X7" i="10" a="1"/>
  <c r="X7" i="10" s="1"/>
  <c r="W7" i="10" a="1"/>
  <c r="W7" i="10" s="1"/>
  <c r="V7" i="10" a="1"/>
  <c r="V7" i="10" s="1"/>
  <c r="U7" i="10" a="1"/>
  <c r="U7" i="10" s="1"/>
  <c r="T7" i="10" a="1"/>
  <c r="T7" i="10" s="1"/>
  <c r="S7" i="10" a="1"/>
  <c r="S7" i="10" s="1"/>
  <c r="R7" i="10" a="1"/>
  <c r="R7" i="10" s="1"/>
  <c r="Q7" i="10" a="1"/>
  <c r="Q7" i="10" s="1"/>
  <c r="P7" i="10" a="1"/>
  <c r="P7" i="10" s="1"/>
  <c r="O7" i="10" a="1"/>
  <c r="O7" i="10" s="1"/>
  <c r="N7" i="10" a="1"/>
  <c r="N7" i="10" s="1"/>
  <c r="M7" i="10" a="1"/>
  <c r="M7" i="10" s="1"/>
  <c r="L7" i="10" a="1"/>
  <c r="L7" i="10" s="1"/>
  <c r="K7" i="10" a="1"/>
  <c r="K7" i="10" s="1"/>
  <c r="BR6" i="10" a="1"/>
  <c r="BR6" i="10" s="1"/>
  <c r="BQ6" i="10" a="1"/>
  <c r="BQ6" i="10" s="1"/>
  <c r="BP6" i="10" a="1"/>
  <c r="BP6" i="10" s="1"/>
  <c r="BO6" i="10" a="1"/>
  <c r="BO6" i="10" s="1"/>
  <c r="BN6" i="10" a="1"/>
  <c r="BN6" i="10" s="1"/>
  <c r="BM6" i="10" a="1"/>
  <c r="BM6" i="10" s="1"/>
  <c r="BL6" i="10" a="1"/>
  <c r="BL6" i="10" s="1"/>
  <c r="BK6" i="10" a="1"/>
  <c r="BK6" i="10" s="1"/>
  <c r="BJ6" i="10" a="1"/>
  <c r="BJ6" i="10" s="1"/>
  <c r="BI6" i="10" a="1"/>
  <c r="BI6" i="10" s="1"/>
  <c r="BH6" i="10" a="1"/>
  <c r="BH6" i="10" s="1"/>
  <c r="BG6" i="10" a="1"/>
  <c r="BG6" i="10" s="1"/>
  <c r="BF6" i="10" a="1"/>
  <c r="BF6" i="10" s="1"/>
  <c r="BE6" i="10" a="1"/>
  <c r="BE6" i="10" s="1"/>
  <c r="BD6" i="10" a="1"/>
  <c r="BD6" i="10" s="1"/>
  <c r="BC6" i="10" a="1"/>
  <c r="BC6" i="10" s="1"/>
  <c r="BB6" i="10" a="1"/>
  <c r="BB6" i="10" s="1"/>
  <c r="BA6" i="10" a="1"/>
  <c r="BA6" i="10" s="1"/>
  <c r="AZ6" i="10" a="1"/>
  <c r="AZ6" i="10" s="1"/>
  <c r="AY6" i="10" a="1"/>
  <c r="AY6" i="10" s="1"/>
  <c r="AX6" i="10" a="1"/>
  <c r="AX6" i="10" s="1"/>
  <c r="AW6" i="10" a="1"/>
  <c r="AW6" i="10" s="1"/>
  <c r="AV6" i="10" a="1"/>
  <c r="AV6" i="10" s="1"/>
  <c r="AU6" i="10" a="1"/>
  <c r="AU6" i="10" s="1"/>
  <c r="AT6" i="10" a="1"/>
  <c r="AT6" i="10" s="1"/>
  <c r="AS6" i="10" a="1"/>
  <c r="AS6" i="10" s="1"/>
  <c r="AR6" i="10" a="1"/>
  <c r="AR6" i="10" s="1"/>
  <c r="AQ6" i="10" a="1"/>
  <c r="AQ6" i="10" s="1"/>
  <c r="AP6" i="10" a="1"/>
  <c r="AP6" i="10" s="1"/>
  <c r="AO6" i="10" a="1"/>
  <c r="AO6" i="10" s="1"/>
  <c r="AN6" i="10" a="1"/>
  <c r="AN6" i="10" s="1"/>
  <c r="AM6" i="10" a="1"/>
  <c r="AM6" i="10" s="1"/>
  <c r="AL6" i="10" a="1"/>
  <c r="AL6" i="10" s="1"/>
  <c r="AK6" i="10" a="1"/>
  <c r="AK6" i="10" s="1"/>
  <c r="AJ6" i="10" a="1"/>
  <c r="AJ6" i="10" s="1"/>
  <c r="AI6" i="10" a="1"/>
  <c r="AI6" i="10" s="1"/>
  <c r="AH6" i="10" a="1"/>
  <c r="AH6" i="10" s="1"/>
  <c r="AG6" i="10" a="1"/>
  <c r="AG6" i="10" s="1"/>
  <c r="AF6" i="10" a="1"/>
  <c r="AF6" i="10" s="1"/>
  <c r="AE6" i="10" a="1"/>
  <c r="AE6" i="10" s="1"/>
  <c r="AD6" i="10" a="1"/>
  <c r="AD6" i="10" s="1"/>
  <c r="AC6" i="10" a="1"/>
  <c r="AC6" i="10" s="1"/>
  <c r="AB6" i="10" a="1"/>
  <c r="AB6" i="10" s="1"/>
  <c r="AA6" i="10" a="1"/>
  <c r="AA6" i="10" s="1"/>
  <c r="Z6" i="10" a="1"/>
  <c r="Z6" i="10" s="1"/>
  <c r="Y6" i="10" a="1"/>
  <c r="Y6" i="10" s="1"/>
  <c r="X6" i="10" a="1"/>
  <c r="X6" i="10" s="1"/>
  <c r="W6" i="10" a="1"/>
  <c r="W6" i="10" s="1"/>
  <c r="V6" i="10" a="1"/>
  <c r="V6" i="10" s="1"/>
  <c r="U6" i="10" a="1"/>
  <c r="U6" i="10" s="1"/>
  <c r="T6" i="10" a="1"/>
  <c r="T6" i="10" s="1"/>
  <c r="S6" i="10" a="1"/>
  <c r="S6" i="10" s="1"/>
  <c r="R6" i="10" a="1"/>
  <c r="R6" i="10" s="1"/>
  <c r="Q6" i="10" a="1"/>
  <c r="Q6" i="10" s="1"/>
  <c r="P6" i="10" a="1"/>
  <c r="P6" i="10" s="1"/>
  <c r="O6" i="10" a="1"/>
  <c r="O6" i="10" s="1"/>
  <c r="N6" i="10" a="1"/>
  <c r="N6" i="10" s="1"/>
  <c r="M6" i="10" a="1"/>
  <c r="M6" i="10" s="1"/>
  <c r="L6" i="10" a="1"/>
  <c r="L6" i="10" s="1"/>
  <c r="K6" i="10" a="1"/>
  <c r="K6" i="10" s="1"/>
  <c r="BR5" i="10" a="1"/>
  <c r="BR5" i="10" s="1"/>
  <c r="BQ5" i="10" a="1"/>
  <c r="BQ5" i="10" s="1"/>
  <c r="BP5" i="10" a="1"/>
  <c r="BP5" i="10" s="1"/>
  <c r="BO5" i="10" a="1"/>
  <c r="BO5" i="10" s="1"/>
  <c r="BN5" i="10" a="1"/>
  <c r="BN5" i="10" s="1"/>
  <c r="BM5" i="10" a="1"/>
  <c r="BM5" i="10" s="1"/>
  <c r="BL5" i="10" a="1"/>
  <c r="BL5" i="10" s="1"/>
  <c r="BK5" i="10" a="1"/>
  <c r="BK5" i="10" s="1"/>
  <c r="BJ5" i="10" a="1"/>
  <c r="BJ5" i="10" s="1"/>
  <c r="BI5" i="10" a="1"/>
  <c r="BI5" i="10" s="1"/>
  <c r="BH5" i="10" a="1"/>
  <c r="BH5" i="10" s="1"/>
  <c r="BG5" i="10" a="1"/>
  <c r="BG5" i="10" s="1"/>
  <c r="BF5" i="10" a="1"/>
  <c r="BF5" i="10" s="1"/>
  <c r="BE5" i="10" a="1"/>
  <c r="BE5" i="10" s="1"/>
  <c r="BD5" i="10" a="1"/>
  <c r="BD5" i="10" s="1"/>
  <c r="BC5" i="10" a="1"/>
  <c r="BC5" i="10" s="1"/>
  <c r="BB5" i="10" a="1"/>
  <c r="BB5" i="10" s="1"/>
  <c r="BA5" i="10" a="1"/>
  <c r="BA5" i="10" s="1"/>
  <c r="AZ5" i="10" a="1"/>
  <c r="AZ5" i="10" s="1"/>
  <c r="AY5" i="10" a="1"/>
  <c r="AY5" i="10" s="1"/>
  <c r="AX5" i="10" a="1"/>
  <c r="AX5" i="10" s="1"/>
  <c r="AW5" i="10" a="1"/>
  <c r="AW5" i="10" s="1"/>
  <c r="AV5" i="10" a="1"/>
  <c r="AV5" i="10" s="1"/>
  <c r="AU5" i="10" a="1"/>
  <c r="AU5" i="10" s="1"/>
  <c r="AT5" i="10" a="1"/>
  <c r="AT5" i="10" s="1"/>
  <c r="AS5" i="10" a="1"/>
  <c r="AS5" i="10" s="1"/>
  <c r="AR5" i="10" a="1"/>
  <c r="AR5" i="10" s="1"/>
  <c r="AQ5" i="10" a="1"/>
  <c r="AQ5" i="10" s="1"/>
  <c r="AP5" i="10" a="1"/>
  <c r="AP5" i="10" s="1"/>
  <c r="AO5" i="10" a="1"/>
  <c r="AO5" i="10" s="1"/>
  <c r="AN5" i="10" a="1"/>
  <c r="AN5" i="10" s="1"/>
  <c r="AM5" i="10" a="1"/>
  <c r="AM5" i="10" s="1"/>
  <c r="AL5" i="10" a="1"/>
  <c r="AL5" i="10" s="1"/>
  <c r="AK5" i="10" a="1"/>
  <c r="AK5" i="10" s="1"/>
  <c r="AJ5" i="10" a="1"/>
  <c r="AJ5" i="10" s="1"/>
  <c r="AI5" i="10" a="1"/>
  <c r="AI5" i="10" s="1"/>
  <c r="AH5" i="10" a="1"/>
  <c r="AH5" i="10" s="1"/>
  <c r="AG5" i="10" a="1"/>
  <c r="AG5" i="10" s="1"/>
  <c r="AF5" i="10" a="1"/>
  <c r="AF5" i="10" s="1"/>
  <c r="AE5" i="10" a="1"/>
  <c r="AE5" i="10" s="1"/>
  <c r="AD5" i="10" a="1"/>
  <c r="AD5" i="10" s="1"/>
  <c r="AC5" i="10" a="1"/>
  <c r="AC5" i="10" s="1"/>
  <c r="AB5" i="10" a="1"/>
  <c r="AB5" i="10" s="1"/>
  <c r="AA5" i="10" a="1"/>
  <c r="AA5" i="10" s="1"/>
  <c r="Z5" i="10" a="1"/>
  <c r="Z5" i="10" s="1"/>
  <c r="Y5" i="10" a="1"/>
  <c r="Y5" i="10" s="1"/>
  <c r="X5" i="10" a="1"/>
  <c r="X5" i="10" s="1"/>
  <c r="W5" i="10" a="1"/>
  <c r="W5" i="10" s="1"/>
  <c r="V5" i="10" a="1"/>
  <c r="V5" i="10" s="1"/>
  <c r="U5" i="10" a="1"/>
  <c r="U5" i="10" s="1"/>
  <c r="T5" i="10" a="1"/>
  <c r="T5" i="10" s="1"/>
  <c r="S5" i="10" a="1"/>
  <c r="S5" i="10" s="1"/>
  <c r="R5" i="10" a="1"/>
  <c r="R5" i="10" s="1"/>
  <c r="Q5" i="10" a="1"/>
  <c r="Q5" i="10" s="1"/>
  <c r="P5" i="10" a="1"/>
  <c r="P5" i="10" s="1"/>
  <c r="O5" i="10" a="1"/>
  <c r="O5" i="10" s="1"/>
  <c r="N5" i="10" a="1"/>
  <c r="N5" i="10" s="1"/>
  <c r="M5" i="10" a="1"/>
  <c r="M5" i="10" s="1"/>
  <c r="L5" i="10" a="1"/>
  <c r="L5" i="10" s="1"/>
  <c r="K5" i="10" a="1"/>
  <c r="K5" i="10" s="1"/>
  <c r="U7" i="1" l="1"/>
  <c r="V16" i="1"/>
  <c r="U16" i="1"/>
  <c r="U54" i="1"/>
  <c r="U38" i="1"/>
  <c r="U60" i="1"/>
  <c r="V17" i="1"/>
  <c r="U17" i="1"/>
  <c r="U24" i="1"/>
  <c r="U46" i="1"/>
  <c r="U29" i="1"/>
  <c r="U25" i="1"/>
  <c r="U62" i="1"/>
  <c r="U44" i="1"/>
  <c r="U52" i="1"/>
  <c r="U36" i="1"/>
  <c r="AE20" i="10" a="1"/>
  <c r="AE20" i="10" s="1"/>
  <c r="AD21" i="10" a="1"/>
  <c r="AD21" i="10" s="1"/>
  <c r="AQ23" i="10" a="1"/>
  <c r="AQ23" i="10" s="1"/>
  <c r="AQ21" i="10" a="1"/>
  <c r="AQ21" i="10" s="1"/>
  <c r="AW22" i="10" a="1"/>
  <c r="AW22" i="10" s="1"/>
  <c r="W23" i="10" a="1"/>
  <c r="W23" i="10" s="1"/>
  <c r="AL21" i="10" a="1"/>
  <c r="AL21" i="10" s="1"/>
  <c r="T21" i="10" a="1"/>
  <c r="T21" i="10" s="1"/>
  <c r="BQ24" i="10" a="1"/>
  <c r="BQ24" i="10" s="1"/>
  <c r="AB22" i="10" a="1"/>
  <c r="AB22" i="10" s="1"/>
  <c r="R20" i="10" a="1"/>
  <c r="R20" i="10" s="1"/>
  <c r="Q22" i="10" a="1"/>
  <c r="Q22" i="10" s="1"/>
  <c r="AK22" i="10" a="1"/>
  <c r="AK22" i="10" s="1"/>
  <c r="AU23" i="10" a="1"/>
  <c r="AU23" i="10" s="1"/>
  <c r="BB21" i="10" a="1"/>
  <c r="BB21" i="10" s="1"/>
  <c r="Z23" i="10" a="1"/>
  <c r="Z23" i="10" s="1"/>
  <c r="BO20" i="10" a="1"/>
  <c r="BO20" i="10" s="1"/>
  <c r="AM20" i="10" a="1"/>
  <c r="AM20" i="10" s="1"/>
  <c r="AA21" i="10" a="1"/>
  <c r="AA21" i="10" s="1"/>
  <c r="AW23" i="10" a="1"/>
  <c r="AW23" i="10" s="1"/>
  <c r="BF23" i="10" a="1"/>
  <c r="BF23" i="10" s="1"/>
  <c r="BD22" i="10" a="1"/>
  <c r="BD22" i="10" s="1"/>
  <c r="AN20" i="10" a="1"/>
  <c r="AN20" i="10" s="1"/>
  <c r="AP25" i="10" a="1"/>
  <c r="AP25" i="10" s="1"/>
  <c r="AN24" i="10" a="1"/>
  <c r="AN24" i="10" s="1"/>
  <c r="BC20" i="10" a="1"/>
  <c r="BC20" i="10" s="1"/>
  <c r="AM24" i="10" a="1"/>
  <c r="AM24" i="10" s="1"/>
  <c r="AA23" i="10" a="1"/>
  <c r="AA23" i="10" s="1"/>
  <c r="BG21" i="10" a="1"/>
  <c r="BG21" i="10" s="1"/>
  <c r="W22" i="10" a="1"/>
  <c r="W22" i="10" s="1"/>
  <c r="S21" i="10" a="1"/>
  <c r="S21" i="10" s="1"/>
  <c r="AI21" i="10" a="1"/>
  <c r="AI21" i="10" s="1"/>
  <c r="AG22" i="10" a="1"/>
  <c r="AG22" i="10" s="1"/>
  <c r="AS22" i="10" a="1"/>
  <c r="AS22" i="10" s="1"/>
  <c r="K20" i="10" a="1"/>
  <c r="K20" i="10" s="1"/>
  <c r="Z24" i="10" a="1"/>
  <c r="Z24" i="10" s="1"/>
  <c r="BP23" i="10" a="1"/>
  <c r="BP23" i="10" s="1"/>
  <c r="BB22" i="10" a="1"/>
  <c r="BB22" i="10" s="1"/>
  <c r="AC20" i="10" a="1"/>
  <c r="AC20" i="10" s="1"/>
  <c r="BC23" i="10" a="1"/>
  <c r="BC23" i="10" s="1"/>
  <c r="BR21" i="10" a="1"/>
  <c r="BR21" i="10" s="1"/>
  <c r="AZ21" i="10" a="1"/>
  <c r="AZ21" i="10" s="1"/>
  <c r="AL20" i="10" a="1"/>
  <c r="AL20" i="10" s="1"/>
  <c r="BL23" i="10" a="1"/>
  <c r="BL23" i="10" s="1"/>
  <c r="AM21" i="10" a="1"/>
  <c r="AM21" i="10" s="1"/>
  <c r="BA23" i="10" a="1"/>
  <c r="BA23" i="10" s="1"/>
  <c r="AI25" i="10" a="1"/>
  <c r="AI25" i="10" s="1"/>
  <c r="AD20" i="10" a="1"/>
  <c r="AD20" i="10" s="1"/>
  <c r="BD23" i="10" a="1"/>
  <c r="BD23" i="10" s="1"/>
  <c r="AE21" i="10" a="1"/>
  <c r="AE21" i="10" s="1"/>
  <c r="AS23" i="10" a="1"/>
  <c r="AS23" i="10" s="1"/>
  <c r="AL24" i="10" a="1"/>
  <c r="AL24" i="10" s="1"/>
  <c r="M22" i="10" a="1"/>
  <c r="M22" i="10" s="1"/>
  <c r="AM25" i="10" a="1"/>
  <c r="AM25" i="10" s="1"/>
  <c r="BB23" i="10" a="1"/>
  <c r="BB23" i="10" s="1"/>
  <c r="AJ23" i="10" a="1"/>
  <c r="AJ23" i="10" s="1"/>
  <c r="R21" i="10" a="1"/>
  <c r="R21" i="10" s="1"/>
  <c r="AR24" i="10" a="1"/>
  <c r="AR24" i="10" s="1"/>
  <c r="S22" i="10" a="1"/>
  <c r="S22" i="10" s="1"/>
  <c r="Z20" i="10" a="1"/>
  <c r="Z20" i="10" s="1"/>
  <c r="P20" i="10" a="1"/>
  <c r="P20" i="10" s="1"/>
  <c r="BM23" i="10" a="1"/>
  <c r="BM23" i="10" s="1"/>
  <c r="X21" i="10" a="1"/>
  <c r="X21" i="10" s="1"/>
  <c r="AT25" i="10" a="1"/>
  <c r="AT25" i="10" s="1"/>
  <c r="G25" i="10" s="1"/>
  <c r="AG24" i="10" a="1"/>
  <c r="AG24" i="10" s="1"/>
  <c r="BH23" i="10" a="1"/>
  <c r="BH23" i="10" s="1"/>
  <c r="AR21" i="10" a="1"/>
  <c r="AR21" i="10" s="1"/>
  <c r="AR25" i="10" a="1"/>
  <c r="AR25" i="10" s="1"/>
  <c r="M20" i="10" a="1"/>
  <c r="M20" i="10" s="1"/>
  <c r="AE24" i="10" a="1"/>
  <c r="AE24" i="10" s="1"/>
  <c r="BM22" i="10" a="1"/>
  <c r="BM22" i="10" s="1"/>
  <c r="BP20" i="10" a="1"/>
  <c r="BP20" i="10" s="1"/>
  <c r="AG21" i="10" a="1"/>
  <c r="AG21" i="10" s="1"/>
  <c r="BP24" i="10" a="1"/>
  <c r="BP24" i="10" s="1"/>
  <c r="AH21" i="10" a="1"/>
  <c r="AH21" i="10" s="1"/>
  <c r="AX20" i="10" a="1"/>
  <c r="AX20" i="10" s="1"/>
  <c r="BF24" i="10" a="1"/>
  <c r="BF24" i="10" s="1"/>
  <c r="AU20" i="10" a="1"/>
  <c r="AU20" i="10" s="1"/>
  <c r="AU24" i="10" a="1"/>
  <c r="AU24" i="10" s="1"/>
  <c r="W24" i="10" a="1"/>
  <c r="W24" i="10" s="1"/>
  <c r="AU22" i="10" a="1"/>
  <c r="AU22" i="10" s="1"/>
  <c r="K23" i="10" a="1"/>
  <c r="K23" i="10" s="1"/>
  <c r="BO21" i="10" a="1"/>
  <c r="BO21" i="10" s="1"/>
  <c r="AE22" i="10" a="1"/>
  <c r="AE22" i="10" s="1"/>
  <c r="BN23" i="10" a="1"/>
  <c r="BN23" i="10" s="1"/>
  <c r="AO21" i="10" a="1"/>
  <c r="AO21" i="10" s="1"/>
  <c r="BO24" i="10" a="1"/>
  <c r="BO24" i="10" s="1"/>
  <c r="V23" i="10" a="1"/>
  <c r="V23" i="10" s="1"/>
  <c r="BL22" i="10" a="1"/>
  <c r="BL22" i="10" s="1"/>
  <c r="AX21" i="10" a="1"/>
  <c r="AX21" i="10" s="1"/>
  <c r="P25" i="10" a="1"/>
  <c r="P25" i="10" s="1"/>
  <c r="AY22" i="10" a="1"/>
  <c r="AY22" i="10" s="1"/>
  <c r="BN20" i="10" a="1"/>
  <c r="BN20" i="10" s="1"/>
  <c r="AV20" i="10" a="1"/>
  <c r="AV20" i="10" s="1"/>
  <c r="AO25" i="10" a="1"/>
  <c r="AO25" i="10" s="1"/>
  <c r="BH22" i="10" a="1"/>
  <c r="BH22" i="10" s="1"/>
  <c r="AI20" i="10" a="1"/>
  <c r="AI20" i="10" s="1"/>
  <c r="AK25" i="10" a="1"/>
  <c r="AK25" i="10" s="1"/>
  <c r="AJ21" i="10" a="1"/>
  <c r="AJ21" i="10" s="1"/>
  <c r="AG25" i="10" a="1"/>
  <c r="AG25" i="10" s="1"/>
  <c r="AZ22" i="10" a="1"/>
  <c r="AZ22" i="10" s="1"/>
  <c r="AA20" i="10" a="1"/>
  <c r="AA20" i="10" s="1"/>
  <c r="M25" i="10" a="1"/>
  <c r="M25" i="10" s="1"/>
  <c r="AH23" i="10" a="1"/>
  <c r="AH23" i="10" s="1"/>
  <c r="BQ20" i="10" a="1"/>
  <c r="BQ20" i="10" s="1"/>
  <c r="AI24" i="10" a="1"/>
  <c r="AI24" i="10" s="1"/>
  <c r="AX22" i="10" a="1"/>
  <c r="AX22" i="10" s="1"/>
  <c r="AF22" i="10" a="1"/>
  <c r="AF22" i="10" s="1"/>
  <c r="N20" i="10" a="1"/>
  <c r="N20" i="10" s="1"/>
  <c r="AN23" i="10" a="1"/>
  <c r="AN23" i="10" s="1"/>
  <c r="O21" i="10" a="1"/>
  <c r="O21" i="10" s="1"/>
  <c r="M23" i="10" a="1"/>
  <c r="M23" i="10" s="1"/>
  <c r="Z25" i="10" a="1"/>
  <c r="Z25" i="10" s="1"/>
  <c r="BI22" i="10" a="1"/>
  <c r="BI22" i="10" s="1"/>
  <c r="T20" i="10" a="1"/>
  <c r="T20" i="10" s="1"/>
  <c r="AP24" i="10" a="1"/>
  <c r="AP24" i="10" s="1"/>
  <c r="BA21" i="10" a="1"/>
  <c r="BA21" i="10" s="1"/>
  <c r="AC23" i="10" a="1"/>
  <c r="AC23" i="10" s="1"/>
  <c r="U20" i="10" a="1"/>
  <c r="U20" i="10" s="1"/>
  <c r="AM23" i="10" a="1"/>
  <c r="AM23" i="10" s="1"/>
  <c r="U24" i="10" a="1"/>
  <c r="U24" i="10" s="1"/>
  <c r="AA24" i="10" a="1"/>
  <c r="AA24" i="10" s="1"/>
  <c r="AM22" i="10" a="1"/>
  <c r="AM22" i="10" s="1"/>
  <c r="BI21" i="10" a="1"/>
  <c r="BI21" i="10" s="1"/>
  <c r="L25" i="10" a="1"/>
  <c r="L25" i="10" s="1"/>
  <c r="N23" i="10" a="1"/>
  <c r="N23" i="10" s="1"/>
  <c r="AQ22" i="10" a="1"/>
  <c r="AQ22" i="10" s="1"/>
  <c r="AI22" i="10" a="1"/>
  <c r="AI22" i="10" s="1"/>
  <c r="AJ20" i="10" a="1"/>
  <c r="AJ20" i="10" s="1"/>
  <c r="V22" i="10" a="1"/>
  <c r="V22" i="10" s="1"/>
  <c r="BK20" i="10" a="1"/>
  <c r="BK20" i="10" s="1"/>
  <c r="BC24" i="10" a="1"/>
  <c r="BC24" i="10" s="1"/>
  <c r="AG20" i="10" a="1"/>
  <c r="AG20" i="10" s="1"/>
  <c r="AI23" i="10" a="1"/>
  <c r="AI23" i="10" s="1"/>
  <c r="O24" i="10" a="1"/>
  <c r="O24" i="10" s="1"/>
  <c r="BK22" i="10" a="1"/>
  <c r="BK22" i="10" s="1"/>
  <c r="S23" i="10" a="1"/>
  <c r="S23" i="10" s="1"/>
  <c r="BJ22" i="10" a="1"/>
  <c r="BJ22" i="10" s="1"/>
  <c r="AK20" i="10" a="1"/>
  <c r="AK20" i="10" s="1"/>
  <c r="BK23" i="10" a="1"/>
  <c r="BK23" i="10" s="1"/>
  <c r="R22" i="10" a="1"/>
  <c r="R22" i="10" s="1"/>
  <c r="BH21" i="10" a="1"/>
  <c r="BH21" i="10" s="1"/>
  <c r="AT20" i="10" a="1"/>
  <c r="AT20" i="10" s="1"/>
  <c r="L24" i="10" a="1"/>
  <c r="L24" i="10" s="1"/>
  <c r="AU21" i="10" a="1"/>
  <c r="AU21" i="10" s="1"/>
  <c r="Q24" i="10" a="1"/>
  <c r="Q24" i="10" s="1"/>
  <c r="AQ25" i="10" a="1"/>
  <c r="AQ25" i="10" s="1"/>
  <c r="AK24" i="10" a="1"/>
  <c r="AK24" i="10" s="1"/>
  <c r="BD21" i="10" a="1"/>
  <c r="BD21" i="10" s="1"/>
  <c r="U23" i="10" a="1"/>
  <c r="U23" i="10" s="1"/>
  <c r="BH25" i="10" a="1"/>
  <c r="BH25" i="10" s="1"/>
  <c r="AA25" i="10" a="1"/>
  <c r="AA25" i="10" s="1"/>
  <c r="AC24" i="10" a="1"/>
  <c r="AC24" i="10" s="1"/>
  <c r="AV21" i="10" a="1"/>
  <c r="AV21" i="10" s="1"/>
  <c r="BR25" i="10" a="1"/>
  <c r="BR25" i="10" s="1"/>
  <c r="I25" i="10" s="1"/>
  <c r="AZ25" i="10" a="1"/>
  <c r="AZ25" i="10" s="1"/>
  <c r="AD22" i="10" a="1"/>
  <c r="AD22" i="10" s="1"/>
  <c r="BD25" i="10" a="1"/>
  <c r="BD25" i="10" s="1"/>
  <c r="AE23" i="10" a="1"/>
  <c r="AE23" i="10" s="1"/>
  <c r="AT21" i="10" a="1"/>
  <c r="AT21" i="10" s="1"/>
  <c r="AB21" i="10" a="1"/>
  <c r="AB21" i="10" s="1"/>
  <c r="Q25" i="10" a="1"/>
  <c r="Q25" i="10" s="1"/>
  <c r="AJ22" i="10" a="1"/>
  <c r="AJ22" i="10" s="1"/>
  <c r="AH20" i="10" a="1"/>
  <c r="AH20" i="10" s="1"/>
  <c r="AW24" i="10" a="1"/>
  <c r="AW24" i="10" s="1"/>
  <c r="V24" i="10" a="1"/>
  <c r="V24" i="10" s="1"/>
  <c r="BE21" i="10" a="1"/>
  <c r="BE21" i="10" s="1"/>
  <c r="W25" i="10" a="1"/>
  <c r="W25" i="10" s="1"/>
  <c r="AL23" i="10" a="1"/>
  <c r="AL23" i="10" s="1"/>
  <c r="BE22" i="10" a="1"/>
  <c r="BE22" i="10" s="1"/>
  <c r="BA24" i="10" a="1"/>
  <c r="BA24" i="10" s="1"/>
  <c r="BJ24" i="10" a="1"/>
  <c r="BJ24" i="10" s="1"/>
  <c r="AT22" i="10" a="1"/>
  <c r="AT22" i="10" s="1"/>
  <c r="AL22" i="10" a="1"/>
  <c r="AL22" i="10" s="1"/>
  <c r="AF20" i="10" a="1"/>
  <c r="AF20" i="10" s="1"/>
  <c r="BI20" i="10" a="1"/>
  <c r="BI20" i="10" s="1"/>
  <c r="AF23" i="10" a="1"/>
  <c r="AF23" i="10" s="1"/>
  <c r="K21" i="10" a="1"/>
  <c r="K21" i="10" s="1"/>
  <c r="AO22" i="10" a="1"/>
  <c r="AO22" i="10" s="1"/>
  <c r="AD25" i="10" a="1"/>
  <c r="AD25" i="10" s="1"/>
  <c r="BG24" i="10" a="1"/>
  <c r="BG24" i="10" s="1"/>
  <c r="AP21" i="10" a="1"/>
  <c r="AP21" i="10" s="1"/>
  <c r="BF20" i="10" a="1"/>
  <c r="BF20" i="10" s="1"/>
  <c r="BH24" i="10" a="1"/>
  <c r="BH24" i="10" s="1"/>
  <c r="Q23" i="10" a="1"/>
  <c r="Q23" i="10" s="1"/>
  <c r="AV25" i="10" a="1"/>
  <c r="AV25" i="10" s="1"/>
  <c r="AY21" i="10" a="1"/>
  <c r="AY21" i="10" s="1"/>
  <c r="BK24" i="10" a="1"/>
  <c r="BK24" i="10" s="1"/>
  <c r="BM20" i="10" a="1"/>
  <c r="BM20" i="10" s="1"/>
  <c r="BG23" i="10" a="1"/>
  <c r="BG23" i="10" s="1"/>
  <c r="Y20" i="10" a="1"/>
  <c r="Y20" i="10" s="1"/>
  <c r="AY23" i="10" a="1"/>
  <c r="AY23" i="10" s="1"/>
  <c r="BO23" i="10" a="1"/>
  <c r="BO23" i="10" s="1"/>
  <c r="BF21" i="10" a="1"/>
  <c r="BF21" i="10" s="1"/>
  <c r="X25" i="10" a="1"/>
  <c r="X25" i="10" s="1"/>
  <c r="BG22" i="10" a="1"/>
  <c r="BG22" i="10" s="1"/>
  <c r="N21" i="10" a="1"/>
  <c r="N21" i="10" s="1"/>
  <c r="BD20" i="10" a="1"/>
  <c r="BD20" i="10" s="1"/>
  <c r="AW25" i="10" a="1"/>
  <c r="AW25" i="10" s="1"/>
  <c r="BP22" i="10" a="1"/>
  <c r="BP22" i="10" s="1"/>
  <c r="AQ20" i="10" a="1"/>
  <c r="AQ20" i="10" s="1"/>
  <c r="AS25" i="10" a="1"/>
  <c r="AS25" i="10" s="1"/>
  <c r="BF25" i="10" a="1"/>
  <c r="BF25" i="10" s="1"/>
  <c r="H25" i="10" s="1"/>
  <c r="AG23" i="10" a="1"/>
  <c r="AG23" i="10" s="1"/>
  <c r="AZ20" i="10" a="1"/>
  <c r="AZ20" i="10" s="1"/>
  <c r="N25" i="10" a="1"/>
  <c r="N25" i="10" s="1"/>
  <c r="BD24" i="10" a="1"/>
  <c r="BD24" i="10" s="1"/>
  <c r="AX25" i="10" a="1"/>
  <c r="AX25" i="10" s="1"/>
  <c r="Y23" i="10" a="1"/>
  <c r="Y23" i="10" s="1"/>
  <c r="AR20" i="10" a="1"/>
  <c r="AR20" i="10" s="1"/>
  <c r="BN24" i="10" a="1"/>
  <c r="BN24" i="10" s="1"/>
  <c r="AV24" i="10" a="1"/>
  <c r="AV24" i="10" s="1"/>
  <c r="Z21" i="10" a="1"/>
  <c r="Z21" i="10" s="1"/>
  <c r="AZ24" i="10" a="1"/>
  <c r="AZ24" i="10" s="1"/>
  <c r="AA22" i="10" a="1"/>
  <c r="AA22" i="10" s="1"/>
  <c r="AP20" i="10" a="1"/>
  <c r="AP20" i="10" s="1"/>
  <c r="X20" i="10" a="1"/>
  <c r="X20" i="10" s="1"/>
  <c r="M24" i="10" a="1"/>
  <c r="M24" i="10" s="1"/>
  <c r="AF21" i="10" a="1"/>
  <c r="AF21" i="10" s="1"/>
  <c r="BB25" i="10" a="1"/>
  <c r="BB25" i="10" s="1"/>
  <c r="AJ25" i="10" a="1"/>
  <c r="AJ25" i="10" s="1"/>
  <c r="R23" i="10" a="1"/>
  <c r="R23" i="10" s="1"/>
  <c r="BA20" i="10" a="1"/>
  <c r="BA20" i="10" s="1"/>
  <c r="S24" i="10" a="1"/>
  <c r="S24" i="10" s="1"/>
  <c r="AH22" i="10" a="1"/>
  <c r="AH22" i="10" s="1"/>
  <c r="L22" i="10" a="1"/>
  <c r="L22" i="10" s="1"/>
  <c r="R24" i="10" a="1"/>
  <c r="R24" i="10" s="1"/>
  <c r="BL25" i="10" a="1"/>
  <c r="BL25" i="10" s="1"/>
  <c r="AN21" i="10" a="1"/>
  <c r="AN21" i="10" s="1"/>
  <c r="AP22" i="10" a="1"/>
  <c r="AP22" i="10" s="1"/>
  <c r="W20" i="10" a="1"/>
  <c r="W20" i="10" s="1"/>
  <c r="O22" i="10" a="1"/>
  <c r="O22" i="10" s="1"/>
  <c r="K25" i="10" a="1"/>
  <c r="K25" i="10" s="1"/>
  <c r="AK21" i="10" a="1"/>
  <c r="AK21" i="10" s="1"/>
  <c r="AO20" i="10" a="1"/>
  <c r="AO20" i="10" s="1"/>
  <c r="M21" i="10" a="1"/>
  <c r="M21" i="10" s="1"/>
  <c r="BE20" i="10" a="1"/>
  <c r="BE20" i="10" s="1"/>
  <c r="Q20" i="10" a="1"/>
  <c r="Q20" i="10" s="1"/>
  <c r="BB20" i="10" a="1"/>
  <c r="BB20" i="10" s="1"/>
  <c r="T24" i="10" a="1"/>
  <c r="T24" i="10" s="1"/>
  <c r="BC21" i="10" a="1"/>
  <c r="BC21" i="10" s="1"/>
  <c r="AO24" i="10" a="1"/>
  <c r="AO24" i="10" s="1"/>
  <c r="AY25" i="10" a="1"/>
  <c r="AY25" i="10" s="1"/>
  <c r="AS24" i="10" a="1"/>
  <c r="AS24" i="10" s="1"/>
  <c r="BL21" i="10" a="1"/>
  <c r="BL21" i="10" s="1"/>
  <c r="BI23" i="10" a="1"/>
  <c r="BI23" i="10" s="1"/>
  <c r="BP25" i="10" a="1"/>
  <c r="BP25" i="10" s="1"/>
  <c r="BB24" i="10" a="1"/>
  <c r="BB24" i="10" s="1"/>
  <c r="AC22" i="10" a="1"/>
  <c r="AC22" i="10" s="1"/>
  <c r="BC25" i="10" a="1"/>
  <c r="BC25" i="10" s="1"/>
  <c r="BR23" i="10" a="1"/>
  <c r="BR23" i="10" s="1"/>
  <c r="AZ23" i="10" a="1"/>
  <c r="AZ23" i="10" s="1"/>
  <c r="AT24" i="10" a="1"/>
  <c r="AT24" i="10" s="1"/>
  <c r="U22" i="10" a="1"/>
  <c r="U22" i="10" s="1"/>
  <c r="AU25" i="10" a="1"/>
  <c r="AU25" i="10" s="1"/>
  <c r="BJ23" i="10" a="1"/>
  <c r="BJ23" i="10" s="1"/>
  <c r="AR23" i="10" a="1"/>
  <c r="AR23" i="10" s="1"/>
  <c r="V20" i="10" a="1"/>
  <c r="V20" i="10" s="1"/>
  <c r="AV23" i="10" a="1"/>
  <c r="AV23" i="10" s="1"/>
  <c r="W21" i="10" a="1"/>
  <c r="W21" i="10" s="1"/>
  <c r="AK23" i="10" a="1"/>
  <c r="AK23" i="10" s="1"/>
  <c r="AH25" i="10" a="1"/>
  <c r="AH25" i="10" s="1"/>
  <c r="F25" i="10" s="1"/>
  <c r="BQ22" i="10" a="1"/>
  <c r="BQ22" i="10" s="1"/>
  <c r="AB20" i="10" a="1"/>
  <c r="AB20" i="10" s="1"/>
  <c r="AX24" i="10" a="1"/>
  <c r="AX24" i="10" s="1"/>
  <c r="AF24" i="10" a="1"/>
  <c r="AF24" i="10" s="1"/>
  <c r="N22" i="10" a="1"/>
  <c r="N22" i="10" s="1"/>
  <c r="AN25" i="10" a="1"/>
  <c r="AN25" i="10" s="1"/>
  <c r="O23" i="10" a="1"/>
  <c r="O23" i="10" s="1"/>
  <c r="U21" i="10" a="1"/>
  <c r="U21" i="10" s="1"/>
  <c r="BK25" i="10" a="1"/>
  <c r="BK25" i="10" s="1"/>
  <c r="BJ21" i="10" a="1"/>
  <c r="BJ21" i="10" s="1"/>
  <c r="BJ25" i="10" a="1"/>
  <c r="BJ25" i="10" s="1"/>
  <c r="X22" i="10" a="1"/>
  <c r="X22" i="10" s="1"/>
  <c r="V12" i="1"/>
  <c r="BG20" i="10" a="1"/>
  <c r="BG20" i="10" s="1"/>
  <c r="BM24" i="10" a="1"/>
  <c r="BM24" i="10" s="1"/>
  <c r="BP21" i="10" a="1"/>
  <c r="BP21" i="10" s="1"/>
  <c r="R25" i="10" a="1"/>
  <c r="R25" i="10" s="1"/>
  <c r="BE23" i="10" a="1"/>
  <c r="BE23" i="10" s="1"/>
  <c r="AS20" i="10" a="1"/>
  <c r="AS20" i="10" s="1"/>
  <c r="T22" i="10" a="1"/>
  <c r="T22" i="10" s="1"/>
  <c r="BO22" i="10" a="1"/>
  <c r="BO22" i="10" s="1"/>
  <c r="AH24" i="10" a="1"/>
  <c r="AH24" i="10" s="1"/>
  <c r="V21" i="10" a="1"/>
  <c r="V21" i="10" s="1"/>
  <c r="L23" i="10" a="1"/>
  <c r="L23" i="10" s="1"/>
  <c r="BN21" i="10" a="1"/>
  <c r="BN21" i="10" s="1"/>
  <c r="BA22" i="10" a="1"/>
  <c r="BA22" i="10" s="1"/>
  <c r="P21" i="10" a="1"/>
  <c r="P21" i="10" s="1"/>
  <c r="BK21" i="10" a="1"/>
  <c r="BK21" i="10" s="1"/>
  <c r="Z22" i="10" a="1"/>
  <c r="Z22" i="10" s="1"/>
  <c r="P24" i="10" a="1"/>
  <c r="P24" i="10" s="1"/>
  <c r="BG25" i="10" a="1"/>
  <c r="BG25" i="10" s="1"/>
  <c r="BO25" i="10" a="1"/>
  <c r="BO25" i="10" s="1"/>
  <c r="BR22" i="10" a="1"/>
  <c r="BR22" i="10" s="1"/>
  <c r="BI24" i="10" a="1"/>
  <c r="BI24" i="10" s="1"/>
  <c r="AF25" i="10" a="1"/>
  <c r="AF25" i="10" s="1"/>
  <c r="K24" i="10" a="1"/>
  <c r="K24" i="10" s="1"/>
  <c r="AL25" i="10" a="1"/>
  <c r="AL25" i="10" s="1"/>
  <c r="T25" i="10" a="1"/>
  <c r="T25" i="10" s="1"/>
  <c r="BJ20" i="10" a="1"/>
  <c r="BJ20" i="10" s="1"/>
  <c r="AW21" i="10" a="1"/>
  <c r="AW21" i="10" s="1"/>
  <c r="AB24" i="10" a="1"/>
  <c r="AB24" i="10" s="1"/>
  <c r="L20" i="10" a="1"/>
  <c r="L20" i="10" s="1"/>
  <c r="U25" i="10" a="1"/>
  <c r="U25" i="10" s="1"/>
  <c r="BI25" i="10" a="1"/>
  <c r="BI25" i="10" s="1"/>
  <c r="AC25" i="10" a="1"/>
  <c r="AC25" i="10" s="1"/>
  <c r="BQ25" i="10" a="1"/>
  <c r="BQ25" i="10" s="1"/>
  <c r="Y24" i="10" a="1"/>
  <c r="Y24" i="10" s="1"/>
  <c r="AB25" i="10" a="1"/>
  <c r="AB25" i="10" s="1"/>
  <c r="X24" i="10" a="1"/>
  <c r="X24" i="10" s="1"/>
  <c r="T23" i="10" a="1"/>
  <c r="T23" i="10" s="1"/>
  <c r="P22" i="10" a="1"/>
  <c r="P22" i="10" s="1"/>
  <c r="L21" i="10" a="1"/>
  <c r="L21" i="10" s="1"/>
  <c r="N24" i="10" a="1"/>
  <c r="N24" i="10" s="1"/>
  <c r="BM25" i="10" a="1"/>
  <c r="BM25" i="10" s="1"/>
  <c r="X23" i="10" a="1"/>
  <c r="X23" i="10" s="1"/>
  <c r="O25" i="10" a="1"/>
  <c r="O25" i="10" s="1"/>
  <c r="AD23" i="10" a="1"/>
  <c r="AD23" i="10" s="1"/>
  <c r="BQ23" i="10" a="1"/>
  <c r="BQ23" i="10" s="1"/>
  <c r="BL20" i="10" a="1"/>
  <c r="BL20" i="10" s="1"/>
  <c r="O20" i="10" a="1"/>
  <c r="O20" i="10" s="1"/>
  <c r="BC22" i="10" a="1"/>
  <c r="BC22" i="10" s="1"/>
  <c r="S25" i="10" a="1"/>
  <c r="S25" i="10" s="1"/>
  <c r="BQ21" i="10" a="1"/>
  <c r="BQ21" i="10" s="1"/>
  <c r="Y22" i="10" a="1"/>
  <c r="Y22" i="10" s="1"/>
  <c r="AS21" i="10" a="1"/>
  <c r="AS21" i="10" s="1"/>
  <c r="AC21" i="10" a="1"/>
  <c r="AC21" i="10" s="1"/>
  <c r="AW20" i="10" a="1"/>
  <c r="AW20" i="10" s="1"/>
  <c r="BE25" i="10" a="1"/>
  <c r="BE25" i="10" s="1"/>
  <c r="P23" i="10" a="1"/>
  <c r="P23" i="10" s="1"/>
  <c r="AY20" i="10" a="1"/>
  <c r="AY20" i="10" s="1"/>
  <c r="BA25" i="10" a="1"/>
  <c r="BA25" i="10" s="1"/>
  <c r="BN25" i="10" a="1"/>
  <c r="BN25" i="10" s="1"/>
  <c r="AO23" i="10" a="1"/>
  <c r="AO23" i="10" s="1"/>
  <c r="BH20" i="10" a="1"/>
  <c r="BH20" i="10" s="1"/>
  <c r="V25" i="10" a="1"/>
  <c r="V25" i="10" s="1"/>
  <c r="E25" i="10" s="1"/>
  <c r="BL24" i="10" a="1"/>
  <c r="BL24" i="10" s="1"/>
  <c r="AX23" i="10" a="1"/>
  <c r="AX23" i="10" s="1"/>
  <c r="Y21" i="10" a="1"/>
  <c r="Y21" i="10" s="1"/>
  <c r="AY24" i="10" a="1"/>
  <c r="AY24" i="10" s="1"/>
  <c r="BN22" i="10" a="1"/>
  <c r="BN22" i="10" s="1"/>
  <c r="AV22" i="10" a="1"/>
  <c r="AV22" i="10" s="1"/>
  <c r="AP23" i="10" a="1"/>
  <c r="AP23" i="10" s="1"/>
  <c r="Q21" i="10" a="1"/>
  <c r="Q21" i="10" s="1"/>
  <c r="AQ24" i="10" a="1"/>
  <c r="AQ24" i="10" s="1"/>
  <c r="BF22" i="10" a="1"/>
  <c r="BF22" i="10" s="1"/>
  <c r="AN22" i="10" a="1"/>
  <c r="AN22" i="10" s="1"/>
  <c r="Y25" i="10" a="1"/>
  <c r="Y25" i="10" s="1"/>
  <c r="AR22" i="10" a="1"/>
  <c r="AR22" i="10" s="1"/>
  <c r="S20" i="10" a="1"/>
  <c r="S20" i="10" s="1"/>
  <c r="BE24" i="10" a="1"/>
  <c r="BE24" i="10" s="1"/>
  <c r="AD24" i="10" a="1"/>
  <c r="AD24" i="10" s="1"/>
  <c r="BM21" i="10" a="1"/>
  <c r="BM21" i="10" s="1"/>
  <c r="AE25" i="10" a="1"/>
  <c r="AE25" i="10" s="1"/>
  <c r="AT23" i="10" a="1"/>
  <c r="AT23" i="10" s="1"/>
  <c r="AB23" i="10" a="1"/>
  <c r="AB23" i="10" s="1"/>
  <c r="BR20" i="10" a="1"/>
  <c r="BR20" i="10" s="1"/>
  <c r="AJ24" i="10" a="1"/>
  <c r="AJ24" i="10" s="1"/>
  <c r="K22" i="10" a="1"/>
  <c r="K22" i="10" s="1"/>
  <c r="BR24" i="10" a="1"/>
  <c r="BR24" i="10" s="1"/>
  <c r="X14" i="10" a="1"/>
  <c r="X14" i="10" s="1"/>
  <c r="M13" i="10" a="1"/>
  <c r="M13" i="10" s="1"/>
  <c r="Z16" i="10" a="1"/>
  <c r="Z16" i="10" s="1"/>
  <c r="BQ18" i="10" a="1"/>
  <c r="BQ18" i="10" s="1"/>
  <c r="AF15" i="10" a="1"/>
  <c r="AF15" i="10" s="1"/>
  <c r="AM15" i="10" a="1"/>
  <c r="AM15" i="10" s="1"/>
  <c r="BA16" i="10" a="1"/>
  <c r="BA16" i="10" s="1"/>
  <c r="BC17" i="10" a="1"/>
  <c r="BC17" i="10" s="1"/>
  <c r="W13" i="10" a="1"/>
  <c r="W13" i="10" s="1"/>
  <c r="L16" i="10" a="1"/>
  <c r="L16" i="10" s="1"/>
  <c r="BC13" i="10" a="1"/>
  <c r="BC13" i="10" s="1"/>
  <c r="K15" i="10" a="1"/>
  <c r="K15" i="10" s="1"/>
  <c r="M16" i="10" a="1"/>
  <c r="M16" i="10" s="1"/>
  <c r="O17" i="10" a="1"/>
  <c r="O17" i="10" s="1"/>
  <c r="R18" i="10" a="1"/>
  <c r="R18" i="10" s="1"/>
  <c r="AV13" i="10" a="1"/>
  <c r="AV13" i="10" s="1"/>
  <c r="BG14" i="10" a="1"/>
  <c r="BG14" i="10" s="1"/>
  <c r="BB15" i="10" a="1"/>
  <c r="BB15" i="10" s="1"/>
  <c r="BC16" i="10" a="1"/>
  <c r="BC16" i="10" s="1"/>
  <c r="BL17" i="10" a="1"/>
  <c r="BL17" i="10" s="1"/>
  <c r="Q13" i="10" a="1"/>
  <c r="Q13" i="10" s="1"/>
  <c r="AT14" i="10" a="1"/>
  <c r="AT14" i="10" s="1"/>
  <c r="AO15" i="10" a="1"/>
  <c r="AO15" i="10" s="1"/>
  <c r="AW16" i="10" a="1"/>
  <c r="AW16" i="10" s="1"/>
  <c r="BE17" i="10" a="1"/>
  <c r="BE17" i="10" s="1"/>
  <c r="BG18" i="10" a="1"/>
  <c r="BG18" i="10" s="1"/>
  <c r="M14" i="10" a="1"/>
  <c r="M14" i="10" s="1"/>
  <c r="U15" i="10" a="1"/>
  <c r="U15" i="10" s="1"/>
  <c r="AK16" i="10" a="1"/>
  <c r="AK16" i="10" s="1"/>
  <c r="AS17" i="10" a="1"/>
  <c r="AS17" i="10" s="1"/>
  <c r="AR18" i="10" a="1"/>
  <c r="AR18" i="10" s="1"/>
  <c r="AI13" i="10" a="1"/>
  <c r="AI13" i="10" s="1"/>
  <c r="AY13" i="10" a="1"/>
  <c r="AY13" i="10" s="1"/>
  <c r="AV14" i="10" a="1"/>
  <c r="AV14" i="10" s="1"/>
  <c r="BD15" i="10" a="1"/>
  <c r="BD15" i="10" s="1"/>
  <c r="AY16" i="10" a="1"/>
  <c r="AY16" i="10" s="1"/>
  <c r="AZ17" i="10" a="1"/>
  <c r="AZ17" i="10" s="1"/>
  <c r="BA18" i="10" a="1"/>
  <c r="BA18" i="10" s="1"/>
  <c r="AP14" i="10" a="1"/>
  <c r="AP14" i="10" s="1"/>
  <c r="AQ15" i="10" a="1"/>
  <c r="AQ15" i="10" s="1"/>
  <c r="AM16" i="10" a="1"/>
  <c r="AM16" i="10" s="1"/>
  <c r="AU17" i="10" a="1"/>
  <c r="AU17" i="10" s="1"/>
  <c r="AT18" i="10" a="1"/>
  <c r="AT18" i="10" s="1"/>
  <c r="BA13" i="10" a="1"/>
  <c r="BA13" i="10" s="1"/>
  <c r="BE14" i="10" a="1"/>
  <c r="BE14" i="10" s="1"/>
  <c r="BF15" i="10" a="1"/>
  <c r="BF15" i="10" s="1"/>
  <c r="S17" i="10" a="1"/>
  <c r="S17" i="10" s="1"/>
  <c r="X18" i="10" a="1"/>
  <c r="X18" i="10" s="1"/>
  <c r="BQ17" i="10" a="1"/>
  <c r="BQ17" i="10" s="1"/>
  <c r="AU13" i="10" a="1"/>
  <c r="AU13" i="10" s="1"/>
  <c r="AG13" i="10" a="1"/>
  <c r="AG13" i="10" s="1"/>
  <c r="AI15" i="10" a="1"/>
  <c r="AI15" i="10" s="1"/>
  <c r="AE17" i="10" a="1"/>
  <c r="AE17" i="10" s="1"/>
  <c r="AT17" i="10" a="1"/>
  <c r="AT17" i="10" s="1"/>
  <c r="AS13" i="10" a="1"/>
  <c r="AS13" i="10" s="1"/>
  <c r="AF18" i="10" a="1"/>
  <c r="AF18" i="10" s="1"/>
  <c r="S16" i="10" a="1"/>
  <c r="S16" i="10" s="1"/>
  <c r="AH16" i="10" a="1"/>
  <c r="AH16" i="10" s="1"/>
  <c r="AV17" i="10" a="1"/>
  <c r="AV17" i="10" s="1"/>
  <c r="BD18" i="10" a="1"/>
  <c r="BD18" i="10" s="1"/>
  <c r="BJ13" i="10" a="1"/>
  <c r="BJ13" i="10" s="1"/>
  <c r="T17" i="10" a="1"/>
  <c r="T17" i="10" s="1"/>
  <c r="BK13" i="10" a="1"/>
  <c r="BK13" i="10" s="1"/>
  <c r="R15" i="10" a="1"/>
  <c r="R15" i="10" s="1"/>
  <c r="T16" i="10" a="1"/>
  <c r="T16" i="10" s="1"/>
  <c r="U17" i="10" a="1"/>
  <c r="U17" i="10" s="1"/>
  <c r="Z18" i="10" a="1"/>
  <c r="Z18" i="10" s="1"/>
  <c r="BD13" i="10" a="1"/>
  <c r="BD13" i="10" s="1"/>
  <c r="BN14" i="10" a="1"/>
  <c r="BN14" i="10" s="1"/>
  <c r="BI15" i="10" a="1"/>
  <c r="BI15" i="10" s="1"/>
  <c r="BJ16" i="10" a="1"/>
  <c r="BJ16" i="10" s="1"/>
  <c r="K18" i="10" a="1"/>
  <c r="K18" i="10" s="1"/>
  <c r="R13" i="10" a="1"/>
  <c r="R13" i="10" s="1"/>
  <c r="BA14" i="10" a="1"/>
  <c r="BA14" i="10" s="1"/>
  <c r="AV15" i="10" a="1"/>
  <c r="AV15" i="10" s="1"/>
  <c r="BD16" i="10" a="1"/>
  <c r="BD16" i="10" s="1"/>
  <c r="BM17" i="10" a="1"/>
  <c r="BM17" i="10" s="1"/>
  <c r="BO18" i="10" a="1"/>
  <c r="BO18" i="10" s="1"/>
  <c r="AA14" i="10" a="1"/>
  <c r="AA14" i="10" s="1"/>
  <c r="AC15" i="10" a="1"/>
  <c r="AC15" i="10" s="1"/>
  <c r="AX16" i="10" a="1"/>
  <c r="AX16" i="10" s="1"/>
  <c r="AY17" i="10" a="1"/>
  <c r="AY17" i="10" s="1"/>
  <c r="AZ18" i="10" a="1"/>
  <c r="AZ18" i="10" s="1"/>
  <c r="AX13" i="10" a="1"/>
  <c r="AX13" i="10" s="1"/>
  <c r="BG13" i="10" a="1"/>
  <c r="BG13" i="10" s="1"/>
  <c r="BC14" i="10" a="1"/>
  <c r="BC14" i="10" s="1"/>
  <c r="BK15" i="10" a="1"/>
  <c r="BK15" i="10" s="1"/>
  <c r="BF16" i="10" a="1"/>
  <c r="BF16" i="10" s="1"/>
  <c r="BG17" i="10" a="1"/>
  <c r="BG17" i="10" s="1"/>
  <c r="BI18" i="10" a="1"/>
  <c r="BI18" i="10" s="1"/>
  <c r="AW14" i="10" a="1"/>
  <c r="AW14" i="10" s="1"/>
  <c r="AX15" i="10" a="1"/>
  <c r="AX15" i="10" s="1"/>
  <c r="AS16" i="10" a="1"/>
  <c r="AS16" i="10" s="1"/>
  <c r="BA17" i="10" a="1"/>
  <c r="BA17" i="10" s="1"/>
  <c r="BB18" i="10" a="1"/>
  <c r="BB18" i="10" s="1"/>
  <c r="BI13" i="10" a="1"/>
  <c r="BI13" i="10" s="1"/>
  <c r="BL14" i="10" a="1"/>
  <c r="BL14" i="10" s="1"/>
  <c r="BM15" i="10" a="1"/>
  <c r="BM15" i="10" s="1"/>
  <c r="Z17" i="10" a="1"/>
  <c r="Z17" i="10" s="1"/>
  <c r="AE18" i="10" a="1"/>
  <c r="AE18" i="10" s="1"/>
  <c r="AS15" i="10" a="1"/>
  <c r="AS15" i="10" s="1"/>
  <c r="BP16" i="10" a="1"/>
  <c r="BP16" i="10" s="1"/>
  <c r="AM14" i="10" a="1"/>
  <c r="AM14" i="10" s="1"/>
  <c r="BF13" i="10" a="1"/>
  <c r="BF13" i="10" s="1"/>
  <c r="AJ13" i="10" a="1"/>
  <c r="AJ13" i="10" s="1"/>
  <c r="AF16" i="10" a="1"/>
  <c r="AF16" i="10" s="1"/>
  <c r="M17" i="10" a="1"/>
  <c r="M17" i="10" s="1"/>
  <c r="U13" i="10" a="1"/>
  <c r="U13" i="10" s="1"/>
  <c r="AA17" i="10" a="1"/>
  <c r="AA17" i="10" s="1"/>
  <c r="AP17" i="10" a="1"/>
  <c r="AP17" i="10" s="1"/>
  <c r="AV18" i="10" a="1"/>
  <c r="AV18" i="10" s="1"/>
  <c r="AY14" i="10" a="1"/>
  <c r="AY14" i="10" s="1"/>
  <c r="BF14" i="10" a="1"/>
  <c r="BF14" i="10" s="1"/>
  <c r="Q18" i="10" a="1"/>
  <c r="Q18" i="10" s="1"/>
  <c r="K14" i="10" a="1"/>
  <c r="K14" i="10" s="1"/>
  <c r="Z15" i="10" a="1"/>
  <c r="Z15" i="10" s="1"/>
  <c r="AA16" i="10" a="1"/>
  <c r="AA16" i="10" s="1"/>
  <c r="AB17" i="10" a="1"/>
  <c r="AB17" i="10" s="1"/>
  <c r="AG18" i="10" a="1"/>
  <c r="AG18" i="10" s="1"/>
  <c r="BL13" i="10" a="1"/>
  <c r="BL13" i="10" s="1"/>
  <c r="L15" i="10" a="1"/>
  <c r="L15" i="10" s="1"/>
  <c r="BP15" i="10" a="1"/>
  <c r="BP15" i="10" s="1"/>
  <c r="BQ16" i="10" a="1"/>
  <c r="BQ16" i="10" s="1"/>
  <c r="S18" i="10" a="1"/>
  <c r="S18" i="10" s="1"/>
  <c r="AP13" i="10" a="1"/>
  <c r="AP13" i="10" s="1"/>
  <c r="BH14" i="10" a="1"/>
  <c r="BH14" i="10" s="1"/>
  <c r="BC15" i="10" a="1"/>
  <c r="BC15" i="10" s="1"/>
  <c r="BK16" i="10" a="1"/>
  <c r="BK16" i="10" s="1"/>
  <c r="L18" i="10" a="1"/>
  <c r="L18" i="10" s="1"/>
  <c r="AO13" i="10" a="1"/>
  <c r="AO13" i="10" s="1"/>
  <c r="AH14" i="10" a="1"/>
  <c r="AH14" i="10" s="1"/>
  <c r="AJ15" i="10" a="1"/>
  <c r="AJ15" i="10" s="1"/>
  <c r="BE16" i="10" a="1"/>
  <c r="BE16" i="10" s="1"/>
  <c r="BF17" i="10" a="1"/>
  <c r="BF17" i="10" s="1"/>
  <c r="BH18" i="10" a="1"/>
  <c r="BH18" i="10" s="1"/>
  <c r="BN13" i="10" a="1"/>
  <c r="BN13" i="10" s="1"/>
  <c r="BO13" i="10" a="1"/>
  <c r="BO13" i="10" s="1"/>
  <c r="BJ14" i="10" a="1"/>
  <c r="BJ14" i="10" s="1"/>
  <c r="BR15" i="10" a="1"/>
  <c r="BR15" i="10" s="1"/>
  <c r="BM16" i="10" a="1"/>
  <c r="BM16" i="10" s="1"/>
  <c r="BO17" i="10" a="1"/>
  <c r="BO17" i="10" s="1"/>
  <c r="AZ13" i="10" a="1"/>
  <c r="AZ13" i="10" s="1"/>
  <c r="BD14" i="10" a="1"/>
  <c r="BD14" i="10" s="1"/>
  <c r="BE15" i="10" a="1"/>
  <c r="BE15" i="10" s="1"/>
  <c r="AZ16" i="10" a="1"/>
  <c r="AZ16" i="10" s="1"/>
  <c r="BH17" i="10" a="1"/>
  <c r="BH17" i="10" s="1"/>
  <c r="BJ18" i="10" a="1"/>
  <c r="BJ18" i="10" s="1"/>
  <c r="BQ13" i="10" a="1"/>
  <c r="BQ13" i="10" s="1"/>
  <c r="BR14" i="10" a="1"/>
  <c r="BR14" i="10" s="1"/>
  <c r="R16" i="10" a="1"/>
  <c r="R16" i="10" s="1"/>
  <c r="AH17" i="10" a="1"/>
  <c r="AH17" i="10" s="1"/>
  <c r="AM18" i="10" a="1"/>
  <c r="AM18" i="10" s="1"/>
  <c r="AU18" i="10" a="1"/>
  <c r="AU18" i="10" s="1"/>
  <c r="V14" i="10" a="1"/>
  <c r="V14" i="10" s="1"/>
  <c r="AD18" i="10" a="1"/>
  <c r="AD18" i="10" s="1"/>
  <c r="AE14" i="10" a="1"/>
  <c r="AE14" i="10" s="1"/>
  <c r="BM14" i="10" a="1"/>
  <c r="BM14" i="10" s="1"/>
  <c r="AZ14" i="10" a="1"/>
  <c r="AZ14" i="10" s="1"/>
  <c r="AQ16" i="10" a="1"/>
  <c r="AQ16" i="10" s="1"/>
  <c r="AY18" i="10" a="1"/>
  <c r="AY18" i="10" s="1"/>
  <c r="AR16" i="10" a="1"/>
  <c r="AR16" i="10" s="1"/>
  <c r="AC14" i="10" a="1"/>
  <c r="AC14" i="10" s="1"/>
  <c r="AX14" i="10" a="1"/>
  <c r="AX14" i="10" s="1"/>
  <c r="AC13" i="10" a="1"/>
  <c r="AC13" i="10" s="1"/>
  <c r="AI17" i="10" a="1"/>
  <c r="AI17" i="10" s="1"/>
  <c r="AN18" i="10" a="1"/>
  <c r="AN18" i="10" s="1"/>
  <c r="P13" i="10" a="1"/>
  <c r="P13" i="10" s="1"/>
  <c r="BO16" i="10" a="1"/>
  <c r="BO16" i="10" s="1"/>
  <c r="BN15" i="10" a="1"/>
  <c r="BN15" i="10" s="1"/>
  <c r="Y18" i="10" a="1"/>
  <c r="Y18" i="10" s="1"/>
  <c r="Q14" i="10" a="1"/>
  <c r="Q14" i="10" s="1"/>
  <c r="AG15" i="10" a="1"/>
  <c r="AG15" i="10" s="1"/>
  <c r="AO16" i="10" a="1"/>
  <c r="AO16" i="10" s="1"/>
  <c r="AJ17" i="10" a="1"/>
  <c r="AJ17" i="10" s="1"/>
  <c r="AO18" i="10" a="1"/>
  <c r="AO18" i="10" s="1"/>
  <c r="L14" i="10" a="1"/>
  <c r="L14" i="10" s="1"/>
  <c r="S15" i="10" a="1"/>
  <c r="S15" i="10" s="1"/>
  <c r="N16" i="10" a="1"/>
  <c r="N16" i="10" s="1"/>
  <c r="V17" i="10" a="1"/>
  <c r="V17" i="10" s="1"/>
  <c r="AH18" i="10" a="1"/>
  <c r="AH18" i="10" s="1"/>
  <c r="BE13" i="10" a="1"/>
  <c r="BE13" i="10" s="1"/>
  <c r="BO14" i="10" a="1"/>
  <c r="BO14" i="10" s="1"/>
  <c r="BJ15" i="10" a="1"/>
  <c r="BJ15" i="10" s="1"/>
  <c r="BR16" i="10" a="1"/>
  <c r="BR16" i="10" s="1"/>
  <c r="T18" i="10" a="1"/>
  <c r="T18" i="10" s="1"/>
  <c r="AH13" i="10" a="1"/>
  <c r="AH13" i="10" s="1"/>
  <c r="AN14" i="10" a="1"/>
  <c r="AN14" i="10" s="1"/>
  <c r="AP15" i="10" a="1"/>
  <c r="AP15" i="10" s="1"/>
  <c r="BL16" i="10" a="1"/>
  <c r="BL16" i="10" s="1"/>
  <c r="BN17" i="10" a="1"/>
  <c r="BN17" i="10" s="1"/>
  <c r="BP18" i="10" a="1"/>
  <c r="BP18" i="10" s="1"/>
  <c r="T14" i="10" a="1"/>
  <c r="T14" i="10" s="1"/>
  <c r="N14" i="10" a="1"/>
  <c r="N14" i="10" s="1"/>
  <c r="BP14" i="10" a="1"/>
  <c r="BP14" i="10" s="1"/>
  <c r="P16" i="10" a="1"/>
  <c r="P16" i="10" s="1"/>
  <c r="L17" i="10" a="1"/>
  <c r="L17" i="10" s="1"/>
  <c r="N18" i="10" a="1"/>
  <c r="N18" i="10" s="1"/>
  <c r="BH13" i="10" a="1"/>
  <c r="BH13" i="10" s="1"/>
  <c r="BK14" i="10" a="1"/>
  <c r="BK14" i="10" s="1"/>
  <c r="BL15" i="10" a="1"/>
  <c r="BL15" i="10" s="1"/>
  <c r="BG16" i="10" a="1"/>
  <c r="BG16" i="10" s="1"/>
  <c r="BP17" i="10" a="1"/>
  <c r="BP17" i="10" s="1"/>
  <c r="BR18" i="10" a="1"/>
  <c r="BR18" i="10" s="1"/>
  <c r="W14" i="10" a="1"/>
  <c r="W14" i="10" s="1"/>
  <c r="X15" i="10" a="1"/>
  <c r="X15" i="10" s="1"/>
  <c r="Y16" i="10" a="1"/>
  <c r="Y16" i="10" s="1"/>
  <c r="AO17" i="10" a="1"/>
  <c r="AO17" i="10" s="1"/>
  <c r="AL13" i="10" a="1"/>
  <c r="AL13" i="10" s="1"/>
  <c r="Y15" i="10" a="1"/>
  <c r="Y15" i="10" s="1"/>
  <c r="BO15" i="10" a="1"/>
  <c r="BO15" i="10" s="1"/>
  <c r="AV16" i="10" a="1"/>
  <c r="AV16" i="10" s="1"/>
  <c r="AL17" i="10" a="1"/>
  <c r="AL17" i="10" s="1"/>
  <c r="S13" i="10" a="1"/>
  <c r="S13" i="10" s="1"/>
  <c r="AS18" i="10" a="1"/>
  <c r="AS18" i="10" s="1"/>
  <c r="AK13" i="10" a="1"/>
  <c r="AK13" i="10" s="1"/>
  <c r="BK18" i="10" a="1"/>
  <c r="BK18" i="10" s="1"/>
  <c r="O13" i="10" a="1"/>
  <c r="O13" i="10" s="1"/>
  <c r="AT13" i="10" a="1"/>
  <c r="AT13" i="10" s="1"/>
  <c r="BL18" i="10" a="1"/>
  <c r="BL18" i="10" s="1"/>
  <c r="N17" i="10" a="1"/>
  <c r="N17" i="10" s="1"/>
  <c r="X13" i="10" a="1"/>
  <c r="X13" i="10" s="1"/>
  <c r="Y14" i="10" a="1"/>
  <c r="Y14" i="10" s="1"/>
  <c r="AT15" i="10" a="1"/>
  <c r="AT15" i="10" s="1"/>
  <c r="AU16" i="10" a="1"/>
  <c r="AU16" i="10" s="1"/>
  <c r="AQ17" i="10" a="1"/>
  <c r="AQ17" i="10" s="1"/>
  <c r="AW18" i="10" a="1"/>
  <c r="AW18" i="10" s="1"/>
  <c r="R14" i="10" a="1"/>
  <c r="R14" i="10" s="1"/>
  <c r="AA15" i="10" a="1"/>
  <c r="AA15" i="10" s="1"/>
  <c r="AB16" i="10" a="1"/>
  <c r="AB16" i="10" s="1"/>
  <c r="AC17" i="10" a="1"/>
  <c r="AC17" i="10" s="1"/>
  <c r="AP18" i="10" a="1"/>
  <c r="AP18" i="10" s="1"/>
  <c r="BM13" i="10" a="1"/>
  <c r="BM13" i="10" s="1"/>
  <c r="M15" i="10" a="1"/>
  <c r="M15" i="10" s="1"/>
  <c r="U16" i="10" a="1"/>
  <c r="U16" i="10" s="1"/>
  <c r="P17" i="10" a="1"/>
  <c r="P17" i="10" s="1"/>
  <c r="AA18" i="10" a="1"/>
  <c r="AA18" i="10" s="1"/>
  <c r="K13" i="10" a="1"/>
  <c r="K13" i="10" s="1"/>
  <c r="AU14" i="10" a="1"/>
  <c r="AU14" i="10" s="1"/>
  <c r="BQ15" i="10" a="1"/>
  <c r="BQ15" i="10" s="1"/>
  <c r="K17" i="10" a="1"/>
  <c r="K17" i="10" s="1"/>
  <c r="M18" i="10" a="1"/>
  <c r="M18" i="10" s="1"/>
  <c r="Y13" i="10" a="1"/>
  <c r="Y13" i="10" s="1"/>
  <c r="L13" i="10" a="1"/>
  <c r="L13" i="10" s="1"/>
  <c r="U14" i="10" a="1"/>
  <c r="U14" i="10" s="1"/>
  <c r="O15" i="10" a="1"/>
  <c r="O15" i="10" s="1"/>
  <c r="W16" i="10" a="1"/>
  <c r="W16" i="10" s="1"/>
  <c r="R17" i="10" a="1"/>
  <c r="R17" i="10" s="1"/>
  <c r="V18" i="10" a="1"/>
  <c r="V18" i="10" s="1"/>
  <c r="BP13" i="10" a="1"/>
  <c r="BP13" i="10" s="1"/>
  <c r="BQ14" i="10" a="1"/>
  <c r="BQ14" i="10" s="1"/>
  <c r="K16" i="10" a="1"/>
  <c r="K16" i="10" s="1"/>
  <c r="BN16" i="10" a="1"/>
  <c r="BN16" i="10" s="1"/>
  <c r="O18" i="10" a="1"/>
  <c r="O18" i="10" s="1"/>
  <c r="V13" i="10" a="1"/>
  <c r="V13" i="10" s="1"/>
  <c r="AD14" i="10" a="1"/>
  <c r="AD14" i="10" s="1"/>
  <c r="AE15" i="10" a="1"/>
  <c r="AE15" i="10" s="1"/>
  <c r="AG16" i="10" a="1"/>
  <c r="AG16" i="10" s="1"/>
  <c r="BB17" i="10" a="1"/>
  <c r="BB17" i="10" s="1"/>
  <c r="BC18" i="10" a="1"/>
  <c r="BC18" i="10" s="1"/>
  <c r="X16" i="10" a="1"/>
  <c r="X16" i="10" s="1"/>
  <c r="AT16" i="10" a="1"/>
  <c r="AT16" i="10" s="1"/>
  <c r="BJ17" i="10" a="1"/>
  <c r="BJ17" i="10" s="1"/>
  <c r="AU15" i="10" a="1"/>
  <c r="AU15" i="10" s="1"/>
  <c r="AD16" i="10" a="1"/>
  <c r="AD16" i="10" s="1"/>
  <c r="AO14" i="10" a="1"/>
  <c r="AO14" i="10" s="1"/>
  <c r="AL18" i="10" a="1"/>
  <c r="AL18" i="10" s="1"/>
  <c r="P14" i="10" a="1"/>
  <c r="P14" i="10" s="1"/>
  <c r="N13" i="10" a="1"/>
  <c r="N13" i="10" s="1"/>
  <c r="AR13" i="10" a="1"/>
  <c r="AR13" i="10" s="1"/>
  <c r="AR14" i="10" a="1"/>
  <c r="AR14" i="10" s="1"/>
  <c r="BB13" i="10" a="1"/>
  <c r="BB13" i="10" s="1"/>
  <c r="BR17" i="10" a="1"/>
  <c r="BR17" i="10" s="1"/>
  <c r="AF13" i="10" a="1"/>
  <c r="AF13" i="10" s="1"/>
  <c r="AF14" i="10" a="1"/>
  <c r="AF14" i="10" s="1"/>
  <c r="BA15" i="10" a="1"/>
  <c r="BA15" i="10" s="1"/>
  <c r="BB16" i="10" a="1"/>
  <c r="BB16" i="10" s="1"/>
  <c r="AW17" i="10" a="1"/>
  <c r="AW17" i="10" s="1"/>
  <c r="BE18" i="10" a="1"/>
  <c r="BE18" i="10" s="1"/>
  <c r="Z14" i="10" a="1"/>
  <c r="Z14" i="10" s="1"/>
  <c r="AH15" i="10" a="1"/>
  <c r="AH15" i="10" s="1"/>
  <c r="AI16" i="10" a="1"/>
  <c r="AI16" i="10" s="1"/>
  <c r="AK17" i="10" a="1"/>
  <c r="AK17" i="10" s="1"/>
  <c r="AX18" i="10" a="1"/>
  <c r="AX18" i="10" s="1"/>
  <c r="S14" i="10" a="1"/>
  <c r="S14" i="10" s="1"/>
  <c r="T15" i="10" a="1"/>
  <c r="T15" i="10" s="1"/>
  <c r="AC16" i="10" a="1"/>
  <c r="AC16" i="10" s="1"/>
  <c r="W17" i="10" a="1"/>
  <c r="W17" i="10" s="1"/>
  <c r="AI18" i="10" a="1"/>
  <c r="AI18" i="10" s="1"/>
  <c r="AA13" i="10" a="1"/>
  <c r="AA13" i="10" s="1"/>
  <c r="BB14" i="10" a="1"/>
  <c r="BB14" i="10" s="1"/>
  <c r="O16" i="10" a="1"/>
  <c r="O16" i="10" s="1"/>
  <c r="Q17" i="10" a="1"/>
  <c r="Q17" i="10" s="1"/>
  <c r="U18" i="10" a="1"/>
  <c r="U18" i="10" s="1"/>
  <c r="Z13" i="10" a="1"/>
  <c r="Z13" i="10" s="1"/>
  <c r="T13" i="10" a="1"/>
  <c r="T13" i="10" s="1"/>
  <c r="AB14" i="10" a="1"/>
  <c r="AB14" i="10" s="1"/>
  <c r="V15" i="10" a="1"/>
  <c r="V15" i="10" s="1"/>
  <c r="AE16" i="10" a="1"/>
  <c r="AE16" i="10" s="1"/>
  <c r="AF17" i="10" a="1"/>
  <c r="AF17" i="10" s="1"/>
  <c r="AC18" i="10" a="1"/>
  <c r="AC18" i="10" s="1"/>
  <c r="O14" i="10" a="1"/>
  <c r="O14" i="10" s="1"/>
  <c r="P15" i="10" a="1"/>
  <c r="P15" i="10" s="1"/>
  <c r="Q16" i="10" a="1"/>
  <c r="Q16" i="10" s="1"/>
  <c r="Y17" i="10" a="1"/>
  <c r="Y17" i="10" s="1"/>
  <c r="W18" i="10" a="1"/>
  <c r="W18" i="10" s="1"/>
  <c r="AD13" i="10" a="1"/>
  <c r="AD13" i="10" s="1"/>
  <c r="AJ14" i="10" a="1"/>
  <c r="AJ14" i="10" s="1"/>
  <c r="AL15" i="10" a="1"/>
  <c r="AL15" i="10" s="1"/>
  <c r="AN16" i="10" a="1"/>
  <c r="AN16" i="10" s="1"/>
  <c r="BI17" i="10" a="1"/>
  <c r="BI17" i="10" s="1"/>
  <c r="W15" i="10" a="1"/>
  <c r="W15" i="10" s="1"/>
  <c r="AQ14" i="10" a="1"/>
  <c r="AQ14" i="10" s="1"/>
  <c r="BH16" i="10" a="1"/>
  <c r="BH16" i="10" s="1"/>
  <c r="BK17" i="10" a="1"/>
  <c r="BK17" i="10" s="1"/>
  <c r="BN18" i="10" a="1"/>
  <c r="BN18" i="10" s="1"/>
  <c r="AJ18" i="10" a="1"/>
  <c r="AJ18" i="10" s="1"/>
  <c r="AK15" i="10" a="1"/>
  <c r="AK15" i="10" s="1"/>
  <c r="AY15" i="10" a="1"/>
  <c r="AY15" i="10" s="1"/>
  <c r="AE13" i="10" a="1"/>
  <c r="AE13" i="10" s="1"/>
  <c r="AM13" i="10" a="1"/>
  <c r="AM13" i="10" s="1"/>
  <c r="AK14" i="10" a="1"/>
  <c r="AK14" i="10" s="1"/>
  <c r="AZ15" i="10" a="1"/>
  <c r="AZ15" i="10" s="1"/>
  <c r="BG15" i="10" a="1"/>
  <c r="BG15" i="10" s="1"/>
  <c r="BR13" i="10" a="1"/>
  <c r="BR13" i="10" s="1"/>
  <c r="AN13" i="10" a="1"/>
  <c r="AN13" i="10" s="1"/>
  <c r="AL14" i="10" a="1"/>
  <c r="AL14" i="10" s="1"/>
  <c r="BH15" i="10" a="1"/>
  <c r="BH15" i="10" s="1"/>
  <c r="BI16" i="10" a="1"/>
  <c r="BI16" i="10" s="1"/>
  <c r="BD17" i="10" a="1"/>
  <c r="BD17" i="10" s="1"/>
  <c r="BM18" i="10" a="1"/>
  <c r="BM18" i="10" s="1"/>
  <c r="AS14" i="10" a="1"/>
  <c r="AS14" i="10" s="1"/>
  <c r="AN15" i="10" a="1"/>
  <c r="AN15" i="10" s="1"/>
  <c r="AP16" i="10" a="1"/>
  <c r="AP16" i="10" s="1"/>
  <c r="AR17" i="10" a="1"/>
  <c r="AR17" i="10" s="1"/>
  <c r="BF18" i="10" a="1"/>
  <c r="BF18" i="10" s="1"/>
  <c r="AG14" i="10" a="1"/>
  <c r="AG14" i="10" s="1"/>
  <c r="AB15" i="10" a="1"/>
  <c r="AB15" i="10" s="1"/>
  <c r="AJ16" i="10" a="1"/>
  <c r="AJ16" i="10" s="1"/>
  <c r="AD17" i="10" a="1"/>
  <c r="AD17" i="10" s="1"/>
  <c r="AQ18" i="10" a="1"/>
  <c r="AQ18" i="10" s="1"/>
  <c r="AQ13" i="10" a="1"/>
  <c r="AQ13" i="10" s="1"/>
  <c r="BI14" i="10" a="1"/>
  <c r="BI14" i="10" s="1"/>
  <c r="V16" i="10" a="1"/>
  <c r="V16" i="10" s="1"/>
  <c r="X17" i="10" a="1"/>
  <c r="X17" i="10" s="1"/>
  <c r="AB18" i="10" a="1"/>
  <c r="AB18" i="10" s="1"/>
  <c r="AW13" i="10" a="1"/>
  <c r="AW13" i="10" s="1"/>
  <c r="AB13" i="10" a="1"/>
  <c r="AB13" i="10" s="1"/>
  <c r="AI14" i="10" a="1"/>
  <c r="AI14" i="10" s="1"/>
  <c r="AD15" i="10" a="1"/>
  <c r="AD15" i="10" s="1"/>
  <c r="AL16" i="10" a="1"/>
  <c r="AL16" i="10" s="1"/>
  <c r="AM17" i="10" a="1"/>
  <c r="AM17" i="10" s="1"/>
  <c r="AK18" i="10" a="1"/>
  <c r="AK18" i="10" s="1"/>
  <c r="AG17" i="10" a="1"/>
  <c r="AG17" i="10" s="1"/>
  <c r="AR15" i="10" a="1"/>
  <c r="AR15" i="10" s="1"/>
  <c r="Q15" i="10" a="1"/>
  <c r="Q15" i="10" s="1"/>
  <c r="AX17" i="10" a="1"/>
  <c r="AX17" i="10" s="1"/>
  <c r="N15" i="10" a="1"/>
  <c r="N15" i="10" s="1"/>
  <c r="AW15" i="10" a="1"/>
  <c r="AW15" i="10" s="1"/>
  <c r="AN17" i="10" a="1"/>
  <c r="AN17" i="10" s="1"/>
  <c r="P18" i="10" a="1"/>
  <c r="P18" i="10" s="1"/>
  <c r="AW16" i="5"/>
  <c r="AW33" i="10"/>
  <c r="AO16" i="5"/>
  <c r="AO33" i="10"/>
  <c r="BF16" i="5"/>
  <c r="H16" i="5" s="1"/>
  <c r="BF33" i="10"/>
  <c r="AT16" i="5"/>
  <c r="G16" i="5" s="1"/>
  <c r="AT33" i="10"/>
  <c r="BK16" i="5"/>
  <c r="BK33" i="10"/>
  <c r="BJ16" i="5"/>
  <c r="BJ33" i="10"/>
  <c r="AX16" i="5"/>
  <c r="AX33" i="10"/>
  <c r="AL16" i="5"/>
  <c r="AL33" i="10"/>
  <c r="AK16" i="5"/>
  <c r="AK33" i="10"/>
  <c r="AM16" i="5"/>
  <c r="AM33" i="10"/>
  <c r="BC16" i="5"/>
  <c r="BC33" i="10"/>
  <c r="BB16" i="5"/>
  <c r="BB33" i="10"/>
  <c r="Q16" i="5"/>
  <c r="Q33" i="10"/>
  <c r="BG16" i="5"/>
  <c r="BG33" i="10"/>
  <c r="BO16" i="5"/>
  <c r="BO33" i="10"/>
  <c r="AH16" i="5"/>
  <c r="F16" i="5" s="1"/>
  <c r="AH33" i="10"/>
  <c r="AD16" i="5"/>
  <c r="AD33" i="10"/>
  <c r="AC16" i="5"/>
  <c r="AC33" i="10"/>
  <c r="AS16" i="5"/>
  <c r="AS33" i="10"/>
  <c r="AP16" i="5"/>
  <c r="AP33" i="10"/>
  <c r="BH16" i="5"/>
  <c r="BH33" i="10"/>
  <c r="AY16" i="5"/>
  <c r="AY33" i="10"/>
  <c r="AV16" i="5"/>
  <c r="AV33" i="10"/>
  <c r="AU16" i="5"/>
  <c r="AU33" i="10"/>
  <c r="BA16" i="5"/>
  <c r="BA33" i="10"/>
  <c r="AG16" i="5"/>
  <c r="AG33" i="10"/>
  <c r="V16" i="5"/>
  <c r="E16" i="5" s="1"/>
  <c r="V33" i="10"/>
  <c r="U16" i="5"/>
  <c r="U33" i="10"/>
  <c r="AR16" i="5"/>
  <c r="AR33" i="10"/>
  <c r="AQ16" i="5"/>
  <c r="AQ33" i="10"/>
  <c r="Y16" i="5"/>
  <c r="Y33" i="10"/>
  <c r="AE16" i="5"/>
  <c r="AE33" i="10"/>
  <c r="L16" i="5"/>
  <c r="L33" i="10"/>
  <c r="N16" i="5"/>
  <c r="M16" i="5"/>
  <c r="M33" i="10"/>
  <c r="AJ16" i="5"/>
  <c r="AJ33" i="10"/>
  <c r="AI16" i="5"/>
  <c r="AI33" i="10"/>
  <c r="BP16" i="5"/>
  <c r="BP33" i="10"/>
  <c r="R16" i="5"/>
  <c r="R33" i="10"/>
  <c r="AN16" i="5"/>
  <c r="AN33" i="10"/>
  <c r="W16" i="5"/>
  <c r="W33" i="10"/>
  <c r="BI16" i="5"/>
  <c r="BI33" i="10"/>
  <c r="BM16" i="5"/>
  <c r="BM33" i="10"/>
  <c r="BL16" i="5"/>
  <c r="BL33" i="10"/>
  <c r="AB16" i="5"/>
  <c r="AB33" i="10"/>
  <c r="AA16" i="5"/>
  <c r="AA33" i="10"/>
  <c r="AZ16" i="5"/>
  <c r="AZ33" i="10"/>
  <c r="AF16" i="5"/>
  <c r="AF33" i="10"/>
  <c r="O16" i="5"/>
  <c r="O33" i="10"/>
  <c r="BR16" i="5"/>
  <c r="I16" i="5" s="1"/>
  <c r="BR33" i="10"/>
  <c r="P16" i="5"/>
  <c r="BE16" i="5"/>
  <c r="BE33" i="10"/>
  <c r="Z16" i="5"/>
  <c r="Z33" i="10"/>
  <c r="BD16" i="5"/>
  <c r="BD33" i="10"/>
  <c r="BQ16" i="5"/>
  <c r="BQ33" i="10"/>
  <c r="T16" i="5"/>
  <c r="T33" i="10"/>
  <c r="S16" i="5"/>
  <c r="S33" i="10"/>
  <c r="X16" i="5"/>
  <c r="X33" i="10"/>
  <c r="BN16" i="5"/>
  <c r="BN33" i="10"/>
  <c r="I8" i="10"/>
  <c r="G6" i="10"/>
  <c r="H6" i="10"/>
  <c r="I6" i="10"/>
  <c r="H8" i="10"/>
  <c r="G8" i="10"/>
  <c r="BH11" i="10"/>
  <c r="BH33" i="6" s="1"/>
  <c r="U11" i="10"/>
  <c r="U33" i="6" s="1"/>
  <c r="BC11" i="10"/>
  <c r="BC33" i="6" s="1"/>
  <c r="BI11" i="10"/>
  <c r="BI33" i="6" s="1"/>
  <c r="F8" i="10"/>
  <c r="N11" i="10"/>
  <c r="N33" i="6" s="1"/>
  <c r="V11" i="10"/>
  <c r="V33" i="6" s="1"/>
  <c r="AD11" i="10"/>
  <c r="AD33" i="6" s="1"/>
  <c r="AQ11" i="10"/>
  <c r="AQ33" i="6" s="1"/>
  <c r="AW11" i="10"/>
  <c r="AW33" i="6" s="1"/>
  <c r="BJ11" i="10"/>
  <c r="BJ33" i="6" s="1"/>
  <c r="F9" i="10"/>
  <c r="T11" i="10"/>
  <c r="T33" i="6" s="1"/>
  <c r="M11" i="10"/>
  <c r="M33" i="6" s="1"/>
  <c r="AC11" i="10"/>
  <c r="AC33" i="6" s="1"/>
  <c r="AP11" i="10"/>
  <c r="AP33" i="6" s="1"/>
  <c r="O11" i="10"/>
  <c r="O33" i="6" s="1"/>
  <c r="F5" i="10"/>
  <c r="W11" i="10"/>
  <c r="W33" i="6" s="1"/>
  <c r="AE11" i="10"/>
  <c r="AE33" i="6" s="1"/>
  <c r="AK11" i="10"/>
  <c r="AK33" i="6" s="1"/>
  <c r="AX11" i="10"/>
  <c r="AX33" i="6" s="1"/>
  <c r="BK11" i="10"/>
  <c r="BK33" i="6" s="1"/>
  <c r="E7" i="10"/>
  <c r="G7" i="10"/>
  <c r="H7" i="10"/>
  <c r="I9" i="10"/>
  <c r="P11" i="10"/>
  <c r="P33" i="6" s="1"/>
  <c r="X11" i="10"/>
  <c r="X33" i="6" s="1"/>
  <c r="AL11" i="10"/>
  <c r="AL33" i="6" s="1"/>
  <c r="AR11" i="10"/>
  <c r="AR33" i="6" s="1"/>
  <c r="AY11" i="10"/>
  <c r="AY33" i="6" s="1"/>
  <c r="BE11" i="10"/>
  <c r="BE33" i="6" s="1"/>
  <c r="BQ11" i="10"/>
  <c r="BQ33" i="6" s="1"/>
  <c r="H9" i="10"/>
  <c r="E8" i="10"/>
  <c r="AF11" i="10"/>
  <c r="AF33" i="6" s="1"/>
  <c r="AM11" i="10"/>
  <c r="AM33" i="6" s="1"/>
  <c r="AS11" i="10"/>
  <c r="AS33" i="6" s="1"/>
  <c r="BF11" i="10"/>
  <c r="BF33" i="6" s="1"/>
  <c r="BL11" i="10"/>
  <c r="BL33" i="6" s="1"/>
  <c r="BR11" i="10"/>
  <c r="BR33" i="6" s="1"/>
  <c r="L11" i="10"/>
  <c r="L33" i="6" s="1"/>
  <c r="AB11" i="10"/>
  <c r="AB33" i="6" s="1"/>
  <c r="AO11" i="10"/>
  <c r="AO33" i="6" s="1"/>
  <c r="BB11" i="10"/>
  <c r="BB33" i="6" s="1"/>
  <c r="Q11" i="10"/>
  <c r="Q33" i="6" s="1"/>
  <c r="Y11" i="10"/>
  <c r="Y33" i="6" s="1"/>
  <c r="R11" i="10"/>
  <c r="R33" i="6" s="1"/>
  <c r="Z11" i="10"/>
  <c r="Z33" i="6" s="1"/>
  <c r="AG11" i="10"/>
  <c r="AG33" i="6" s="1"/>
  <c r="AT11" i="10"/>
  <c r="AT33" i="6" s="1"/>
  <c r="AZ11" i="10"/>
  <c r="AZ33" i="6" s="1"/>
  <c r="BG11" i="10"/>
  <c r="BG33" i="6" s="1"/>
  <c r="I5" i="10"/>
  <c r="BM11" i="10"/>
  <c r="BM33" i="6" s="1"/>
  <c r="E9" i="10"/>
  <c r="G9" i="10"/>
  <c r="G5" i="10"/>
  <c r="AI11" i="10"/>
  <c r="AI33" i="6" s="1"/>
  <c r="I7" i="10"/>
  <c r="E5" i="10"/>
  <c r="K11" i="10"/>
  <c r="K33" i="6" s="1"/>
  <c r="S11" i="10"/>
  <c r="S33" i="6" s="1"/>
  <c r="AA11" i="10"/>
  <c r="AA33" i="6" s="1"/>
  <c r="AH11" i="10"/>
  <c r="AH33" i="6" s="1"/>
  <c r="AN11" i="10"/>
  <c r="AN33" i="6" s="1"/>
  <c r="H5" i="10"/>
  <c r="BA11" i="10"/>
  <c r="BA33" i="6" s="1"/>
  <c r="BN11" i="10"/>
  <c r="BN33" i="6" s="1"/>
  <c r="E6" i="10"/>
  <c r="F6" i="10"/>
  <c r="F7" i="10"/>
  <c r="BO11" i="10"/>
  <c r="BO33" i="6" s="1"/>
  <c r="AJ11" i="10"/>
  <c r="AJ33" i="6" s="1"/>
  <c r="AV11" i="10"/>
  <c r="AV33" i="6" s="1"/>
  <c r="BD11" i="10"/>
  <c r="BD33" i="6" s="1"/>
  <c r="BP11" i="10"/>
  <c r="BP33" i="6" s="1"/>
  <c r="K26" i="10" l="1"/>
  <c r="K17" i="5" s="1"/>
  <c r="BH26" i="10"/>
  <c r="BH17" i="5" s="1"/>
  <c r="L26" i="10"/>
  <c r="L17" i="5" s="1"/>
  <c r="AB26" i="10"/>
  <c r="AB17" i="5" s="1"/>
  <c r="AW26" i="10"/>
  <c r="AW17" i="5" s="1"/>
  <c r="BD26" i="10"/>
  <c r="BD17" i="5" s="1"/>
  <c r="BG26" i="10"/>
  <c r="BG17" i="5" s="1"/>
  <c r="AS26" i="10"/>
  <c r="AS17" i="5" s="1"/>
  <c r="AP26" i="10"/>
  <c r="AP17" i="5" s="1"/>
  <c r="AD26" i="10"/>
  <c r="AD17" i="5" s="1"/>
  <c r="S26" i="10"/>
  <c r="S17" i="5" s="1"/>
  <c r="BB26" i="10"/>
  <c r="BB17" i="5" s="1"/>
  <c r="W26" i="10"/>
  <c r="W17" i="5" s="1"/>
  <c r="BA26" i="10"/>
  <c r="BA17" i="5" s="1"/>
  <c r="Y26" i="10"/>
  <c r="Y17" i="5" s="1"/>
  <c r="BF26" i="10"/>
  <c r="AF26" i="10"/>
  <c r="AF17" i="5" s="1"/>
  <c r="AT26" i="10"/>
  <c r="U26" i="10"/>
  <c r="U17" i="5" s="1"/>
  <c r="AC26" i="10"/>
  <c r="AC17" i="5" s="1"/>
  <c r="AN26" i="10"/>
  <c r="AN17" i="5" s="1"/>
  <c r="BR26" i="10"/>
  <c r="Q26" i="10"/>
  <c r="Q17" i="5" s="1"/>
  <c r="AA26" i="10"/>
  <c r="AA17" i="5" s="1"/>
  <c r="AV26" i="10"/>
  <c r="AV17" i="5" s="1"/>
  <c r="AU26" i="10"/>
  <c r="AU17" i="5" s="1"/>
  <c r="BP26" i="10"/>
  <c r="BP17" i="5" s="1"/>
  <c r="BE26" i="10"/>
  <c r="BE17" i="5" s="1"/>
  <c r="AZ26" i="10"/>
  <c r="AZ17" i="5" s="1"/>
  <c r="BM26" i="10"/>
  <c r="BM17" i="5" s="1"/>
  <c r="AG26" i="10"/>
  <c r="AG17" i="5" s="1"/>
  <c r="N26" i="10"/>
  <c r="N17" i="5" s="1"/>
  <c r="BN26" i="10"/>
  <c r="BN17" i="5" s="1"/>
  <c r="M26" i="10"/>
  <c r="M17" i="5" s="1"/>
  <c r="P26" i="10"/>
  <c r="P17" i="5" s="1"/>
  <c r="BI26" i="10"/>
  <c r="BI17" i="5" s="1"/>
  <c r="BJ26" i="10"/>
  <c r="BJ17" i="5" s="1"/>
  <c r="AH26" i="10"/>
  <c r="AX26" i="10"/>
  <c r="AX17" i="5" s="1"/>
  <c r="Z26" i="10"/>
  <c r="Z17" i="5" s="1"/>
  <c r="AY26" i="10"/>
  <c r="AY17" i="5" s="1"/>
  <c r="AO26" i="10"/>
  <c r="AO17" i="5" s="1"/>
  <c r="AK26" i="10"/>
  <c r="AK17" i="5" s="1"/>
  <c r="BK26" i="10"/>
  <c r="BK17" i="5" s="1"/>
  <c r="T26" i="10"/>
  <c r="T17" i="5" s="1"/>
  <c r="AL26" i="10"/>
  <c r="AL17" i="5" s="1"/>
  <c r="R26" i="10"/>
  <c r="R17" i="5" s="1"/>
  <c r="O26" i="10"/>
  <c r="O17" i="5" s="1"/>
  <c r="V26" i="10"/>
  <c r="AR26" i="10"/>
  <c r="AR17" i="5" s="1"/>
  <c r="BC26" i="10"/>
  <c r="BC17" i="5" s="1"/>
  <c r="AM26" i="10"/>
  <c r="AM17" i="5" s="1"/>
  <c r="BL26" i="10"/>
  <c r="BL17" i="5" s="1"/>
  <c r="X26" i="10"/>
  <c r="X17" i="5" s="1"/>
  <c r="AQ26" i="10"/>
  <c r="AQ17" i="5" s="1"/>
  <c r="AJ26" i="10"/>
  <c r="AJ17" i="5" s="1"/>
  <c r="BQ26" i="10"/>
  <c r="BQ17" i="5" s="1"/>
  <c r="AI26" i="10"/>
  <c r="AI17" i="5" s="1"/>
  <c r="BO26" i="10"/>
  <c r="BO17" i="5" s="1"/>
  <c r="AE26" i="10"/>
  <c r="AE17" i="5" s="1"/>
  <c r="I21" i="10"/>
  <c r="H21" i="10"/>
  <c r="F23" i="10"/>
  <c r="H24" i="10"/>
  <c r="G20" i="10"/>
  <c r="E23" i="10"/>
  <c r="F20" i="10"/>
  <c r="F22" i="10"/>
  <c r="I23" i="10"/>
  <c r="H20" i="10"/>
  <c r="I22" i="10"/>
  <c r="H22" i="10"/>
  <c r="I20" i="10"/>
  <c r="E21" i="10"/>
  <c r="E24" i="10"/>
  <c r="I24" i="10"/>
  <c r="H23" i="10"/>
  <c r="G24" i="10"/>
  <c r="F21" i="10"/>
  <c r="G23" i="10"/>
  <c r="E22" i="10"/>
  <c r="G21" i="10"/>
  <c r="F24" i="10"/>
  <c r="G22" i="10"/>
  <c r="E20" i="10"/>
  <c r="G10" i="10"/>
  <c r="I10" i="10"/>
  <c r="G11" i="10"/>
  <c r="AT14" i="1" s="1"/>
  <c r="I11" i="10"/>
  <c r="AV14" i="1" s="1"/>
  <c r="H10" i="10"/>
  <c r="F11" i="10"/>
  <c r="AS14" i="1" s="1"/>
  <c r="AU11" i="10"/>
  <c r="E10" i="10"/>
  <c r="F10" i="10"/>
  <c r="E11" i="10"/>
  <c r="BR10" i="6"/>
  <c r="BQ10" i="6"/>
  <c r="BP10" i="6"/>
  <c r="BO10" i="6"/>
  <c r="BN10" i="6"/>
  <c r="BM10" i="6"/>
  <c r="BL10" i="6"/>
  <c r="BK10" i="6"/>
  <c r="BJ10" i="6"/>
  <c r="BI10" i="6"/>
  <c r="BH10" i="6"/>
  <c r="BG10" i="6"/>
  <c r="BF10" i="6"/>
  <c r="BE10" i="6"/>
  <c r="BD10" i="6"/>
  <c r="BC10" i="6"/>
  <c r="BB10" i="6"/>
  <c r="BA10" i="6"/>
  <c r="AZ10" i="6"/>
  <c r="AY10" i="6"/>
  <c r="AX10" i="6"/>
  <c r="AW10" i="6"/>
  <c r="AV10" i="6"/>
  <c r="AU10" i="6"/>
  <c r="AT10" i="6"/>
  <c r="AS10" i="6"/>
  <c r="AR10" i="6"/>
  <c r="AQ10" i="6"/>
  <c r="AP10" i="6"/>
  <c r="AO10" i="6"/>
  <c r="AN10" i="6"/>
  <c r="AM10" i="6"/>
  <c r="AL10" i="6"/>
  <c r="AK10" i="6"/>
  <c r="AJ10" i="6"/>
  <c r="AI10" i="6"/>
  <c r="AH10" i="6"/>
  <c r="AG10" i="6"/>
  <c r="BR9" i="6"/>
  <c r="BQ9" i="6"/>
  <c r="BP9" i="6"/>
  <c r="BO9" i="6"/>
  <c r="BN9" i="6"/>
  <c r="BM9" i="6"/>
  <c r="BL9" i="6"/>
  <c r="BK9" i="6"/>
  <c r="BJ9" i="6"/>
  <c r="BI9" i="6"/>
  <c r="BH9" i="6"/>
  <c r="BG9" i="6"/>
  <c r="BF9" i="6"/>
  <c r="BE9" i="6"/>
  <c r="BD9" i="6"/>
  <c r="BC9" i="6"/>
  <c r="BB9" i="6"/>
  <c r="BA9" i="6"/>
  <c r="AZ9" i="6"/>
  <c r="AY9" i="6"/>
  <c r="AX9" i="6"/>
  <c r="AW9" i="6"/>
  <c r="AV9" i="6"/>
  <c r="AU9" i="6"/>
  <c r="AT9" i="6"/>
  <c r="AS9" i="6"/>
  <c r="AR9" i="6"/>
  <c r="AQ9" i="6"/>
  <c r="AP9" i="6"/>
  <c r="AO9" i="6"/>
  <c r="AN9" i="6"/>
  <c r="AM9" i="6"/>
  <c r="AL9" i="6"/>
  <c r="AK9" i="6"/>
  <c r="AJ9" i="6"/>
  <c r="AI9" i="6"/>
  <c r="AH9" i="6"/>
  <c r="AG9" i="6"/>
  <c r="BR7" i="6"/>
  <c r="BQ7" i="6"/>
  <c r="BP7" i="6"/>
  <c r="BO7" i="6"/>
  <c r="BN7" i="6"/>
  <c r="BM7" i="6"/>
  <c r="BL7" i="6"/>
  <c r="BK7" i="6"/>
  <c r="BJ7" i="6"/>
  <c r="BI7" i="6"/>
  <c r="BH7" i="6"/>
  <c r="BG7" i="6"/>
  <c r="BF7" i="6"/>
  <c r="BE7" i="6"/>
  <c r="BD7" i="6"/>
  <c r="BC7" i="6"/>
  <c r="BB7" i="6"/>
  <c r="BA7" i="6"/>
  <c r="AZ7" i="6"/>
  <c r="AY7" i="6"/>
  <c r="AX7" i="6"/>
  <c r="AW7" i="6"/>
  <c r="AV7" i="6"/>
  <c r="AU7" i="6"/>
  <c r="AT7" i="6"/>
  <c r="AS7" i="6"/>
  <c r="AR7" i="6"/>
  <c r="AQ7" i="6"/>
  <c r="AP7" i="6"/>
  <c r="AO7" i="6"/>
  <c r="AN7" i="6"/>
  <c r="AM7" i="6"/>
  <c r="AL7" i="6"/>
  <c r="AK7" i="6"/>
  <c r="AJ7" i="6"/>
  <c r="AI7" i="6"/>
  <c r="AH7" i="6"/>
  <c r="AG7" i="6"/>
  <c r="BR6" i="6"/>
  <c r="BQ6" i="6"/>
  <c r="BP6" i="6"/>
  <c r="BO6" i="6"/>
  <c r="BN6" i="6"/>
  <c r="BM6" i="6"/>
  <c r="BL6" i="6"/>
  <c r="BK6" i="6"/>
  <c r="BJ6" i="6"/>
  <c r="BI6" i="6"/>
  <c r="BH6" i="6"/>
  <c r="BG6" i="6"/>
  <c r="BF6" i="6"/>
  <c r="BE6" i="6"/>
  <c r="BD6" i="6"/>
  <c r="BC6" i="6"/>
  <c r="BB6" i="6"/>
  <c r="BA6" i="6"/>
  <c r="AZ6" i="6"/>
  <c r="AY6" i="6"/>
  <c r="AX6" i="6"/>
  <c r="AW6" i="6"/>
  <c r="AV6" i="6"/>
  <c r="AU6" i="6"/>
  <c r="AT6" i="6"/>
  <c r="AS6" i="6"/>
  <c r="AR6" i="6"/>
  <c r="AQ6" i="6"/>
  <c r="AP6" i="6"/>
  <c r="AO6" i="6"/>
  <c r="AN6" i="6"/>
  <c r="AM6" i="6"/>
  <c r="AL6" i="6"/>
  <c r="AK6" i="6"/>
  <c r="AJ6" i="6"/>
  <c r="AI6" i="6"/>
  <c r="AH6" i="6"/>
  <c r="AG6" i="6"/>
  <c r="L32" i="4"/>
  <c r="M32" i="4"/>
  <c r="N32" i="4"/>
  <c r="O32" i="4"/>
  <c r="P32" i="4"/>
  <c r="Q32" i="4"/>
  <c r="R32" i="4"/>
  <c r="S32" i="4"/>
  <c r="T32" i="4"/>
  <c r="U32" i="4"/>
  <c r="V32" i="4"/>
  <c r="W32" i="4"/>
  <c r="X32" i="4"/>
  <c r="Y32" i="4"/>
  <c r="Z32" i="4"/>
  <c r="AA32" i="4"/>
  <c r="AB32" i="4"/>
  <c r="AC32" i="4"/>
  <c r="AD32" i="4"/>
  <c r="AE32" i="4"/>
  <c r="AF32" i="4"/>
  <c r="AG32" i="4"/>
  <c r="AG38" i="6" s="1"/>
  <c r="AH32" i="4"/>
  <c r="AH38" i="6" s="1"/>
  <c r="AI32" i="4"/>
  <c r="AI38" i="6" s="1"/>
  <c r="AJ32" i="4"/>
  <c r="AJ38" i="6" s="1"/>
  <c r="AK32" i="4"/>
  <c r="AK38" i="6" s="1"/>
  <c r="AL32" i="4"/>
  <c r="AL38" i="6" s="1"/>
  <c r="AM32" i="4"/>
  <c r="AM38" i="6" s="1"/>
  <c r="AN32" i="4"/>
  <c r="AN38" i="6" s="1"/>
  <c r="AO32" i="4"/>
  <c r="AO38" i="6" s="1"/>
  <c r="AP32" i="4"/>
  <c r="AP38" i="6" s="1"/>
  <c r="AQ32" i="4"/>
  <c r="AQ38" i="6" s="1"/>
  <c r="AR32" i="4"/>
  <c r="AR38" i="6" s="1"/>
  <c r="AS32" i="4"/>
  <c r="AS38" i="6" s="1"/>
  <c r="AT32" i="4"/>
  <c r="AT38" i="6" s="1"/>
  <c r="AU32" i="4"/>
  <c r="AU38" i="6" s="1"/>
  <c r="AV32" i="4"/>
  <c r="AV38" i="6" s="1"/>
  <c r="AW32" i="4"/>
  <c r="AW38" i="6" s="1"/>
  <c r="AX32" i="4"/>
  <c r="AX38" i="6" s="1"/>
  <c r="AY32" i="4"/>
  <c r="AY38" i="6" s="1"/>
  <c r="AZ32" i="4"/>
  <c r="AZ38" i="6" s="1"/>
  <c r="BA32" i="4"/>
  <c r="BA38" i="6" s="1"/>
  <c r="BB32" i="4"/>
  <c r="BB38" i="6" s="1"/>
  <c r="BC32" i="4"/>
  <c r="BC38" i="6" s="1"/>
  <c r="BD32" i="4"/>
  <c r="BD38" i="6" s="1"/>
  <c r="BE32" i="4"/>
  <c r="BE38" i="6" s="1"/>
  <c r="BF32" i="4"/>
  <c r="BF38" i="6" s="1"/>
  <c r="BG32" i="4"/>
  <c r="BG38" i="6" s="1"/>
  <c r="BH32" i="4"/>
  <c r="BH38" i="6" s="1"/>
  <c r="BI32" i="4"/>
  <c r="BI38" i="6" s="1"/>
  <c r="BJ32" i="4"/>
  <c r="BJ38" i="6" s="1"/>
  <c r="BK32" i="4"/>
  <c r="BK38" i="6" s="1"/>
  <c r="BL32" i="4"/>
  <c r="BL38" i="6" s="1"/>
  <c r="BM32" i="4"/>
  <c r="BM38" i="6" s="1"/>
  <c r="BN32" i="4"/>
  <c r="BN38" i="6" s="1"/>
  <c r="BO32" i="4"/>
  <c r="BO38" i="6" s="1"/>
  <c r="BP32" i="4"/>
  <c r="BP38" i="6" s="1"/>
  <c r="BQ32" i="4"/>
  <c r="BQ38" i="6" s="1"/>
  <c r="BR32" i="4"/>
  <c r="BR38" i="6" s="1"/>
  <c r="BF17" i="5" l="1"/>
  <c r="H17" i="5" s="1"/>
  <c r="AH17" i="5"/>
  <c r="F17" i="5" s="1"/>
  <c r="BR17" i="5"/>
  <c r="I17" i="5" s="1"/>
  <c r="AT17" i="5"/>
  <c r="G17" i="5" s="1"/>
  <c r="V17" i="5"/>
  <c r="E17" i="5" s="1"/>
  <c r="AR14" i="1"/>
  <c r="H11" i="10"/>
  <c r="AU14" i="1" s="1"/>
  <c r="AU33" i="6"/>
  <c r="E26" i="10"/>
  <c r="I26" i="10"/>
  <c r="F26" i="10"/>
  <c r="G26" i="10"/>
  <c r="H26" i="10"/>
  <c r="AL11" i="6"/>
  <c r="AT11" i="6"/>
  <c r="BB11" i="6"/>
  <c r="BJ11" i="6"/>
  <c r="BR11" i="6"/>
  <c r="AI8" i="6"/>
  <c r="AQ8" i="6"/>
  <c r="AY8" i="6"/>
  <c r="BG8" i="6"/>
  <c r="BO8" i="6"/>
  <c r="AJ8" i="6"/>
  <c r="AR8" i="6"/>
  <c r="AZ8" i="6"/>
  <c r="BH8" i="6"/>
  <c r="BP8" i="6"/>
  <c r="AG11" i="6"/>
  <c r="AO11" i="6"/>
  <c r="AW11" i="6"/>
  <c r="BE11" i="6"/>
  <c r="BM11" i="6"/>
  <c r="AK11" i="6"/>
  <c r="AS11" i="6"/>
  <c r="BA11" i="6"/>
  <c r="BI11" i="6"/>
  <c r="BQ11" i="6"/>
  <c r="AM8" i="6"/>
  <c r="AU8" i="6"/>
  <c r="BC8" i="6"/>
  <c r="BK8" i="6"/>
  <c r="BL11" i="6"/>
  <c r="AN8" i="6"/>
  <c r="AV8" i="6"/>
  <c r="BD8" i="6"/>
  <c r="BL8" i="6"/>
  <c r="AH11" i="6"/>
  <c r="AP11" i="6"/>
  <c r="AX11" i="6"/>
  <c r="BF11" i="6"/>
  <c r="BN11" i="6"/>
  <c r="AG8" i="6"/>
  <c r="AO8" i="6"/>
  <c r="AW8" i="6"/>
  <c r="BE8" i="6"/>
  <c r="BM8" i="6"/>
  <c r="AI11" i="6"/>
  <c r="AQ11" i="6"/>
  <c r="AY11" i="6"/>
  <c r="BG11" i="6"/>
  <c r="BO11" i="6"/>
  <c r="AH8" i="6"/>
  <c r="AP8" i="6"/>
  <c r="AX8" i="6"/>
  <c r="BF8" i="6"/>
  <c r="BN8" i="6"/>
  <c r="AJ11" i="6"/>
  <c r="AR11" i="6"/>
  <c r="AZ11" i="6"/>
  <c r="BH11" i="6"/>
  <c r="BP11" i="6"/>
  <c r="AK8" i="6"/>
  <c r="AS8" i="6"/>
  <c r="BA8" i="6"/>
  <c r="BI8" i="6"/>
  <c r="BQ8" i="6"/>
  <c r="AL8" i="6"/>
  <c r="AT8" i="6"/>
  <c r="BB8" i="6"/>
  <c r="BJ8" i="6"/>
  <c r="BR8" i="6"/>
  <c r="AM11" i="6"/>
  <c r="AU11" i="6"/>
  <c r="BC11" i="6"/>
  <c r="BK11" i="6"/>
  <c r="AN11" i="6"/>
  <c r="AV11" i="6"/>
  <c r="BD11" i="6"/>
  <c r="BA12" i="6" l="1"/>
  <c r="BI12" i="6"/>
  <c r="BR12" i="6"/>
  <c r="BN12" i="6"/>
  <c r="AT12" i="6"/>
  <c r="BG12" i="6"/>
  <c r="AL12" i="6"/>
  <c r="BJ12" i="6"/>
  <c r="BB12" i="6"/>
  <c r="AK12" i="6"/>
  <c r="BO12" i="6"/>
  <c r="AY12" i="6"/>
  <c r="AQ12" i="6"/>
  <c r="AI12" i="6"/>
  <c r="BQ12" i="6"/>
  <c r="AZ12" i="6"/>
  <c r="BE12" i="6"/>
  <c r="BH12" i="6"/>
  <c r="AS12" i="6"/>
  <c r="AX12" i="6"/>
  <c r="BM12" i="6"/>
  <c r="BP12" i="6"/>
  <c r="AR12" i="6"/>
  <c r="AJ12" i="6"/>
  <c r="AV12" i="6"/>
  <c r="AW12" i="6"/>
  <c r="AO12" i="6"/>
  <c r="BL12" i="6"/>
  <c r="AG12" i="6"/>
  <c r="AM12" i="6"/>
  <c r="AN12" i="6"/>
  <c r="BD12" i="6"/>
  <c r="AH12" i="6"/>
  <c r="BC12" i="6"/>
  <c r="AU12" i="6"/>
  <c r="BK12" i="6"/>
  <c r="AP12" i="6"/>
  <c r="BF12" i="6"/>
  <c r="J23" i="7"/>
  <c r="AF10" i="6"/>
  <c r="AE10" i="6"/>
  <c r="AD10" i="6"/>
  <c r="AC10" i="6"/>
  <c r="AB10" i="6"/>
  <c r="AA10" i="6"/>
  <c r="Z10" i="6"/>
  <c r="Y10" i="6"/>
  <c r="X10" i="6"/>
  <c r="W10" i="6"/>
  <c r="V10" i="6"/>
  <c r="U10" i="6"/>
  <c r="T10" i="6"/>
  <c r="S10" i="6"/>
  <c r="R10" i="6"/>
  <c r="Q10" i="6"/>
  <c r="P10" i="6"/>
  <c r="O10" i="6"/>
  <c r="N10" i="6"/>
  <c r="M10" i="6"/>
  <c r="L10" i="6"/>
  <c r="K10" i="6"/>
  <c r="K29" i="5" s="1"/>
  <c r="K18" i="7" s="1"/>
  <c r="AF9" i="6"/>
  <c r="AE9" i="6"/>
  <c r="AD9" i="6"/>
  <c r="AC9" i="6"/>
  <c r="AB9" i="6"/>
  <c r="AA9" i="6"/>
  <c r="Z9" i="6"/>
  <c r="Y9" i="6"/>
  <c r="X9" i="6"/>
  <c r="W9" i="6"/>
  <c r="V9" i="6"/>
  <c r="U9" i="6"/>
  <c r="T9" i="6"/>
  <c r="S9" i="6"/>
  <c r="R9" i="6"/>
  <c r="Q9" i="6"/>
  <c r="P9" i="6"/>
  <c r="O9" i="6"/>
  <c r="N9" i="6"/>
  <c r="M9" i="6"/>
  <c r="L9" i="6"/>
  <c r="K9" i="6"/>
  <c r="AF7" i="6"/>
  <c r="AE7" i="6"/>
  <c r="AD7" i="6"/>
  <c r="AC7" i="6"/>
  <c r="AB7" i="6"/>
  <c r="AA7" i="6"/>
  <c r="Z7" i="6"/>
  <c r="Y7" i="6"/>
  <c r="X7" i="6"/>
  <c r="W7" i="6"/>
  <c r="V7" i="6"/>
  <c r="U7" i="6"/>
  <c r="T7" i="6"/>
  <c r="S7" i="6"/>
  <c r="R7" i="6"/>
  <c r="Q7" i="6"/>
  <c r="P7" i="6"/>
  <c r="O7" i="6"/>
  <c r="N7" i="6"/>
  <c r="M7" i="6"/>
  <c r="L7" i="6"/>
  <c r="K7" i="6"/>
  <c r="K25" i="5" s="1"/>
  <c r="K16" i="7" s="1"/>
  <c r="AF6" i="6"/>
  <c r="AE6" i="6"/>
  <c r="AD6" i="6"/>
  <c r="AC6" i="6"/>
  <c r="AB6" i="6"/>
  <c r="AA6" i="6"/>
  <c r="Z6" i="6"/>
  <c r="Y6" i="6"/>
  <c r="X6" i="6"/>
  <c r="W6" i="6"/>
  <c r="V6" i="6"/>
  <c r="U6" i="6"/>
  <c r="T6" i="6"/>
  <c r="S6" i="6"/>
  <c r="R6" i="6"/>
  <c r="Q6" i="6"/>
  <c r="P6" i="6"/>
  <c r="O6" i="6"/>
  <c r="N6" i="6"/>
  <c r="M6" i="6"/>
  <c r="L6" i="6"/>
  <c r="K6" i="6"/>
  <c r="K5" i="6"/>
  <c r="K32" i="4"/>
  <c r="K21" i="4"/>
  <c r="L21" i="4" s="1"/>
  <c r="M21" i="4" s="1"/>
  <c r="N21" i="4" s="1"/>
  <c r="O21" i="4" s="1"/>
  <c r="P21" i="4" s="1"/>
  <c r="Q21" i="4" s="1"/>
  <c r="R21" i="4" s="1"/>
  <c r="S21" i="4" s="1"/>
  <c r="T21" i="4" s="1"/>
  <c r="U21" i="4" s="1"/>
  <c r="V21" i="4" s="1"/>
  <c r="W21" i="4" s="1"/>
  <c r="X21" i="4" s="1"/>
  <c r="Y21" i="4" s="1"/>
  <c r="Z21" i="4" s="1"/>
  <c r="AA21" i="4" s="1"/>
  <c r="AB21" i="4" s="1"/>
  <c r="AC21" i="4" s="1"/>
  <c r="AD21" i="4" s="1"/>
  <c r="AE21" i="4" s="1"/>
  <c r="AF21" i="4" s="1"/>
  <c r="AG21" i="4" s="1"/>
  <c r="AH21" i="4" s="1"/>
  <c r="AI21" i="4" s="1"/>
  <c r="AJ21" i="4" s="1"/>
  <c r="AK21" i="4" s="1"/>
  <c r="AL21" i="4" s="1"/>
  <c r="AM21" i="4" s="1"/>
  <c r="AN21" i="4" s="1"/>
  <c r="AO21" i="4" s="1"/>
  <c r="AP21" i="4" s="1"/>
  <c r="AQ21" i="4" s="1"/>
  <c r="AR21" i="4" s="1"/>
  <c r="AS21" i="4" s="1"/>
  <c r="AT21" i="4" s="1"/>
  <c r="AU21" i="4" s="1"/>
  <c r="AV21" i="4" s="1"/>
  <c r="AW21" i="4" s="1"/>
  <c r="AX21" i="4" s="1"/>
  <c r="AY21" i="4" s="1"/>
  <c r="AZ21" i="4" s="1"/>
  <c r="BA21" i="4" s="1"/>
  <c r="BB21" i="4" s="1"/>
  <c r="BC21" i="4" s="1"/>
  <c r="BD21" i="4" s="1"/>
  <c r="BE21" i="4" s="1"/>
  <c r="BF21" i="4" s="1"/>
  <c r="BG21" i="4" s="1"/>
  <c r="BH21" i="4" s="1"/>
  <c r="BI21" i="4" s="1"/>
  <c r="BJ21" i="4" s="1"/>
  <c r="BK21" i="4" s="1"/>
  <c r="BL21" i="4" s="1"/>
  <c r="BM21" i="4" s="1"/>
  <c r="BN21" i="4" s="1"/>
  <c r="BO21" i="4" s="1"/>
  <c r="BP21" i="4" s="1"/>
  <c r="BQ21" i="4" s="1"/>
  <c r="BR21" i="4" s="1"/>
  <c r="D7" i="3"/>
  <c r="K5" i="2"/>
  <c r="N6" i="2" s="1"/>
  <c r="AI67" i="1"/>
  <c r="AE67" i="1"/>
  <c r="AI66" i="1"/>
  <c r="AE66" i="1"/>
  <c r="AI65" i="1"/>
  <c r="AE65" i="1"/>
  <c r="AI64" i="1"/>
  <c r="AE64" i="1"/>
  <c r="AI63" i="1"/>
  <c r="AE63" i="1"/>
  <c r="AI62" i="1"/>
  <c r="AE62" i="1"/>
  <c r="AI61" i="1"/>
  <c r="AE61" i="1"/>
  <c r="AI60" i="1"/>
  <c r="AE60" i="1"/>
  <c r="AI59" i="1"/>
  <c r="AE59" i="1"/>
  <c r="AI58" i="1"/>
  <c r="AE58" i="1"/>
  <c r="AI57" i="1"/>
  <c r="AE57" i="1"/>
  <c r="AI56" i="1"/>
  <c r="AE56" i="1"/>
  <c r="AI55" i="1"/>
  <c r="AE55" i="1"/>
  <c r="AI54" i="1"/>
  <c r="AE54" i="1"/>
  <c r="AI53" i="1"/>
  <c r="AE53" i="1"/>
  <c r="AI52" i="1"/>
  <c r="AE52" i="1"/>
  <c r="AI51" i="1"/>
  <c r="AE51" i="1"/>
  <c r="AI50" i="1"/>
  <c r="AE50" i="1"/>
  <c r="AI49" i="1"/>
  <c r="AE49" i="1"/>
  <c r="AI48" i="1"/>
  <c r="AE48" i="1"/>
  <c r="AI47" i="1"/>
  <c r="AE47" i="1"/>
  <c r="AI46" i="1"/>
  <c r="AE46" i="1"/>
  <c r="AI45" i="1"/>
  <c r="AE45" i="1"/>
  <c r="AI44" i="1"/>
  <c r="AE44" i="1"/>
  <c r="AI43" i="1"/>
  <c r="AE43" i="1"/>
  <c r="AI42" i="1"/>
  <c r="AE42" i="1"/>
  <c r="AI41" i="1"/>
  <c r="AE41" i="1"/>
  <c r="AI40" i="1"/>
  <c r="AE40" i="1"/>
  <c r="AI39" i="1"/>
  <c r="AE39" i="1"/>
  <c r="AI38" i="1"/>
  <c r="AE38" i="1"/>
  <c r="AI37" i="1"/>
  <c r="AE37" i="1"/>
  <c r="AI36" i="1"/>
  <c r="AE36" i="1"/>
  <c r="AI35" i="1"/>
  <c r="AE35" i="1"/>
  <c r="AI34" i="1"/>
  <c r="AE34" i="1"/>
  <c r="AI33" i="1"/>
  <c r="AE33" i="1"/>
  <c r="AE31" i="1"/>
  <c r="AI30" i="1"/>
  <c r="AE30" i="1"/>
  <c r="AI29" i="1"/>
  <c r="AE29" i="1"/>
  <c r="AI28" i="1"/>
  <c r="AE28" i="1"/>
  <c r="AI27" i="1"/>
  <c r="AE27" i="1"/>
  <c r="AI26" i="1"/>
  <c r="AE26" i="1"/>
  <c r="AI25" i="1"/>
  <c r="AE25" i="1"/>
  <c r="AI24" i="1"/>
  <c r="AE24" i="1"/>
  <c r="AI23" i="1"/>
  <c r="AE23" i="1"/>
  <c r="AI22" i="1"/>
  <c r="AE22" i="1"/>
  <c r="AI21" i="1"/>
  <c r="AE21" i="1"/>
  <c r="AI20" i="1"/>
  <c r="AE20" i="1"/>
  <c r="AI19" i="1"/>
  <c r="AE19" i="1"/>
  <c r="AI18" i="1"/>
  <c r="AE18" i="1"/>
  <c r="AI17" i="1"/>
  <c r="AE17" i="1"/>
  <c r="AI16" i="1"/>
  <c r="AE16" i="1"/>
  <c r="AI15" i="1"/>
  <c r="AE15" i="1"/>
  <c r="AI14" i="1"/>
  <c r="AE14" i="1"/>
  <c r="AI13" i="1"/>
  <c r="AE13" i="1"/>
  <c r="AI12" i="1"/>
  <c r="AE12" i="1"/>
  <c r="AI11" i="1"/>
  <c r="AE11" i="1"/>
  <c r="AI10" i="1"/>
  <c r="AE10" i="1"/>
  <c r="AI9" i="1"/>
  <c r="AE9" i="1"/>
  <c r="AI8" i="1"/>
  <c r="AK12" i="1" s="1"/>
  <c r="I54" i="3" s="1" a="1"/>
  <c r="I54" i="3" s="1"/>
  <c r="AE8" i="1"/>
  <c r="AI7" i="1"/>
  <c r="AK7" i="1" s="1"/>
  <c r="AE7" i="1"/>
  <c r="K22" i="4" l="1" a="1"/>
  <c r="K22" i="4" s="1"/>
  <c r="L22" i="4" s="1" a="1"/>
  <c r="L22" i="4" s="1"/>
  <c r="M22" i="4" s="1" a="1"/>
  <c r="M22" i="4" s="1"/>
  <c r="N22" i="4" s="1" a="1"/>
  <c r="N22" i="4" s="1"/>
  <c r="O22" i="4" s="1" a="1"/>
  <c r="O22" i="4" s="1"/>
  <c r="P22" i="4" s="1" a="1"/>
  <c r="P22" i="4" s="1"/>
  <c r="Q22" i="4" s="1" a="1"/>
  <c r="Q22" i="4" s="1"/>
  <c r="R22" i="4" s="1" a="1"/>
  <c r="R22" i="4" s="1"/>
  <c r="S22" i="4" s="1" a="1"/>
  <c r="S22" i="4" s="1"/>
  <c r="T22" i="4" s="1" a="1"/>
  <c r="T22" i="4" s="1"/>
  <c r="U22" i="4" s="1" a="1"/>
  <c r="U22" i="4" s="1"/>
  <c r="V22" i="4" s="1" a="1"/>
  <c r="V22" i="4" s="1"/>
  <c r="W22" i="4" s="1" a="1"/>
  <c r="W22" i="4" s="1"/>
  <c r="X22" i="4" s="1" a="1"/>
  <c r="X22" i="4" s="1"/>
  <c r="Y22" i="4" s="1" a="1"/>
  <c r="Y22" i="4" s="1"/>
  <c r="Z22" i="4" s="1" a="1"/>
  <c r="Z22" i="4" s="1"/>
  <c r="AA22" i="4" s="1" a="1"/>
  <c r="AA22" i="4" s="1"/>
  <c r="AB22" i="4" s="1" a="1"/>
  <c r="AB22" i="4" s="1"/>
  <c r="AC22" i="4" s="1" a="1"/>
  <c r="AC22" i="4" s="1"/>
  <c r="AD22" i="4" s="1" a="1"/>
  <c r="AD22" i="4" s="1"/>
  <c r="AE22" i="4" s="1" a="1"/>
  <c r="AE22" i="4" s="1"/>
  <c r="AF22" i="4" s="1" a="1"/>
  <c r="AF22" i="4" s="1"/>
  <c r="AG22" i="4" s="1" a="1"/>
  <c r="AG22" i="4" s="1"/>
  <c r="AH22" i="4" s="1" a="1"/>
  <c r="AH22" i="4" s="1"/>
  <c r="AI22" i="4" s="1" a="1"/>
  <c r="AI22" i="4" s="1"/>
  <c r="AJ22" i="4" s="1" a="1"/>
  <c r="AJ22" i="4" s="1"/>
  <c r="AK22" i="4" s="1" a="1"/>
  <c r="AK22" i="4" s="1"/>
  <c r="AL22" i="4" s="1" a="1"/>
  <c r="AL22" i="4" s="1"/>
  <c r="AM22" i="4" s="1" a="1"/>
  <c r="AM22" i="4" s="1"/>
  <c r="AN22" i="4" s="1" a="1"/>
  <c r="AN22" i="4" s="1"/>
  <c r="AO22" i="4" s="1" a="1"/>
  <c r="AO22" i="4" s="1"/>
  <c r="AP22" i="4" s="1" a="1"/>
  <c r="AP22" i="4" s="1"/>
  <c r="AQ22" i="4" s="1" a="1"/>
  <c r="AQ22" i="4" s="1"/>
  <c r="AR22" i="4" s="1" a="1"/>
  <c r="AR22" i="4" s="1"/>
  <c r="AS22" i="4" s="1" a="1"/>
  <c r="AS22" i="4" s="1"/>
  <c r="AT22" i="4" s="1" a="1"/>
  <c r="AT22" i="4" s="1"/>
  <c r="AU22" i="4" s="1" a="1"/>
  <c r="AU22" i="4" s="1"/>
  <c r="AV22" i="4" s="1" a="1"/>
  <c r="AV22" i="4" s="1"/>
  <c r="AW22" i="4" s="1" a="1"/>
  <c r="AW22" i="4" s="1"/>
  <c r="AX22" i="4" s="1" a="1"/>
  <c r="AX22" i="4" s="1"/>
  <c r="AY22" i="4" s="1" a="1"/>
  <c r="AY22" i="4" s="1"/>
  <c r="AZ22" i="4" s="1" a="1"/>
  <c r="AZ22" i="4" s="1"/>
  <c r="BA22" i="4" s="1" a="1"/>
  <c r="BA22" i="4" s="1"/>
  <c r="BB22" i="4" s="1" a="1"/>
  <c r="BB22" i="4" s="1"/>
  <c r="BC22" i="4" s="1" a="1"/>
  <c r="BC22" i="4" s="1"/>
  <c r="BD22" i="4" s="1" a="1"/>
  <c r="BD22" i="4" s="1"/>
  <c r="BE22" i="4" s="1" a="1"/>
  <c r="BE22" i="4" s="1"/>
  <c r="BF22" i="4" s="1" a="1"/>
  <c r="BF22" i="4" s="1"/>
  <c r="BG22" i="4" s="1" a="1"/>
  <c r="BG22" i="4" s="1"/>
  <c r="BH22" i="4" s="1" a="1"/>
  <c r="BH22" i="4" s="1"/>
  <c r="BI22" i="4" s="1" a="1"/>
  <c r="BI22" i="4" s="1"/>
  <c r="BJ22" i="4" s="1" a="1"/>
  <c r="BJ22" i="4" s="1"/>
  <c r="BK22" i="4" s="1" a="1"/>
  <c r="BK22" i="4" s="1"/>
  <c r="BL22" i="4" s="1" a="1"/>
  <c r="BL22" i="4" s="1"/>
  <c r="BM22" i="4" s="1" a="1"/>
  <c r="BM22" i="4" s="1"/>
  <c r="BN22" i="4" s="1" a="1"/>
  <c r="BN22" i="4" s="1"/>
  <c r="BO22" i="4" s="1" a="1"/>
  <c r="BO22" i="4" s="1"/>
  <c r="BP22" i="4" s="1" a="1"/>
  <c r="BP22" i="4" s="1"/>
  <c r="BQ22" i="4" s="1" a="1"/>
  <c r="BQ22" i="4" s="1"/>
  <c r="BR22" i="4" s="1" a="1"/>
  <c r="BR22" i="4" s="1"/>
  <c r="BR32" i="6" s="1"/>
  <c r="AK33" i="1"/>
  <c r="AK31" i="1"/>
  <c r="AK67" i="1"/>
  <c r="K19" i="2"/>
  <c r="K20" i="2" s="1"/>
  <c r="N13" i="2"/>
  <c r="D11" i="3" a="1"/>
  <c r="D11" i="3" s="1"/>
  <c r="D5" i="3" s="1"/>
  <c r="BB458" i="3"/>
  <c r="AF260" i="3"/>
  <c r="J62" i="3"/>
  <c r="M89" i="3"/>
  <c r="W179" i="3"/>
  <c r="Z206" i="3"/>
  <c r="AT386" i="3"/>
  <c r="AW413" i="3"/>
  <c r="BJ530" i="3"/>
  <c r="BE485" i="3"/>
  <c r="H44" i="3"/>
  <c r="Q125" i="3"/>
  <c r="AI287" i="3"/>
  <c r="BF494" i="3"/>
  <c r="L80" i="3"/>
  <c r="AR368" i="3"/>
  <c r="AJ296" i="3"/>
  <c r="AZ440" i="3"/>
  <c r="AM323" i="3"/>
  <c r="G35" i="3"/>
  <c r="F26" i="3"/>
  <c r="K71" i="3"/>
  <c r="AK305" i="3"/>
  <c r="R134" i="3"/>
  <c r="U161" i="3"/>
  <c r="AG269" i="3"/>
  <c r="BI521" i="3"/>
  <c r="AB224" i="3"/>
  <c r="BC467" i="3"/>
  <c r="AU395" i="3"/>
  <c r="AQ359" i="3"/>
  <c r="BH512" i="3"/>
  <c r="Y197" i="3"/>
  <c r="O107" i="3"/>
  <c r="BK539" i="3"/>
  <c r="S143" i="3"/>
  <c r="V170" i="3"/>
  <c r="T152" i="3"/>
  <c r="AV404" i="3"/>
  <c r="BD476" i="3"/>
  <c r="AH278" i="3"/>
  <c r="AX422" i="3"/>
  <c r="BA449" i="3"/>
  <c r="AE251" i="3"/>
  <c r="AY431" i="3"/>
  <c r="X188" i="3"/>
  <c r="AC233" i="3"/>
  <c r="AD242" i="3"/>
  <c r="AP350" i="3"/>
  <c r="AN332" i="3"/>
  <c r="AO341" i="3"/>
  <c r="AA215" i="3"/>
  <c r="E17" i="3"/>
  <c r="AS377" i="3"/>
  <c r="P116" i="3"/>
  <c r="I53" i="3"/>
  <c r="I55" i="3" s="1"/>
  <c r="J52" i="3" s="1"/>
  <c r="AL314" i="3"/>
  <c r="BG503" i="3"/>
  <c r="N98" i="3"/>
  <c r="W7" i="2"/>
  <c r="L5" i="2"/>
  <c r="AK25" i="1"/>
  <c r="V171" i="3" s="1" a="1"/>
  <c r="V171" i="3" s="1"/>
  <c r="AK22" i="1"/>
  <c r="S144" i="3" s="1" a="1"/>
  <c r="S144" i="3" s="1"/>
  <c r="AK27" i="1"/>
  <c r="X189" i="3" s="1" a="1"/>
  <c r="X189" i="3" s="1"/>
  <c r="AK24" i="1"/>
  <c r="U162" i="3" s="1" a="1"/>
  <c r="U162" i="3" s="1"/>
  <c r="AK10" i="1"/>
  <c r="G36" i="3" s="1" a="1"/>
  <c r="G36" i="3" s="1"/>
  <c r="AK8" i="1"/>
  <c r="E18" i="3" s="1" a="1"/>
  <c r="E18" i="3" s="1"/>
  <c r="L11" i="6"/>
  <c r="T11" i="6"/>
  <c r="AB11" i="6"/>
  <c r="O11" i="6"/>
  <c r="L29" i="5"/>
  <c r="W11" i="6"/>
  <c r="AE11" i="6"/>
  <c r="W8" i="6"/>
  <c r="O8" i="6"/>
  <c r="AE8" i="6"/>
  <c r="Z8" i="6"/>
  <c r="P8" i="6"/>
  <c r="AF8" i="6"/>
  <c r="Q11" i="6"/>
  <c r="N8" i="6"/>
  <c r="V8" i="6"/>
  <c r="AD8" i="6"/>
  <c r="M11" i="6"/>
  <c r="U11" i="6"/>
  <c r="AC11" i="6"/>
  <c r="Q8" i="6"/>
  <c r="Y8" i="6"/>
  <c r="P11" i="6"/>
  <c r="AF11" i="6"/>
  <c r="I32" i="4"/>
  <c r="E6" i="6"/>
  <c r="AB8" i="6"/>
  <c r="K11" i="6"/>
  <c r="S11" i="6"/>
  <c r="AA11" i="6"/>
  <c r="F10" i="6"/>
  <c r="I10" i="6"/>
  <c r="E7" i="6"/>
  <c r="I7" i="6"/>
  <c r="L25" i="5"/>
  <c r="L16" i="7" s="1"/>
  <c r="K28" i="4"/>
  <c r="K35" i="6" s="1"/>
  <c r="K28" i="5"/>
  <c r="K17" i="7" s="1"/>
  <c r="S8" i="6"/>
  <c r="AA8" i="6"/>
  <c r="I6" i="6"/>
  <c r="G10" i="6"/>
  <c r="R8" i="6"/>
  <c r="L8" i="6"/>
  <c r="T8" i="6"/>
  <c r="Y11" i="6"/>
  <c r="H6" i="6"/>
  <c r="R11" i="6"/>
  <c r="Z11" i="6"/>
  <c r="N11" i="6"/>
  <c r="V11" i="6"/>
  <c r="AD11" i="6"/>
  <c r="D8" i="3"/>
  <c r="K18" i="4"/>
  <c r="K16" i="4"/>
  <c r="K5" i="4"/>
  <c r="AK23" i="1"/>
  <c r="T153" i="3" s="1" a="1"/>
  <c r="T153" i="3" s="1"/>
  <c r="AK26" i="1"/>
  <c r="W180" i="3" s="1" a="1"/>
  <c r="W180" i="3" s="1"/>
  <c r="AK29" i="1"/>
  <c r="Z207" i="3" s="1" a="1"/>
  <c r="Z207" i="3" s="1"/>
  <c r="AB225" i="3" a="1"/>
  <c r="AB225" i="3" s="1"/>
  <c r="AK36" i="1"/>
  <c r="AK40" i="1"/>
  <c r="AK44" i="1"/>
  <c r="AK48" i="1"/>
  <c r="AK52" i="1"/>
  <c r="AK56" i="1"/>
  <c r="AK60" i="1"/>
  <c r="AK64" i="1"/>
  <c r="AK21" i="1"/>
  <c r="R135" i="3" s="1" a="1"/>
  <c r="R135" i="3" s="1"/>
  <c r="AC234" i="3" a="1"/>
  <c r="AC234" i="3" s="1"/>
  <c r="AK37" i="1"/>
  <c r="AK41" i="1"/>
  <c r="AK45" i="1"/>
  <c r="AK49" i="1"/>
  <c r="AK53" i="1"/>
  <c r="AK57" i="1"/>
  <c r="AK61" i="1"/>
  <c r="AK65" i="1"/>
  <c r="AK11" i="1"/>
  <c r="H45" i="3" s="1" a="1"/>
  <c r="H45" i="3" s="1"/>
  <c r="AK14" i="1"/>
  <c r="K72" i="3" s="1" a="1"/>
  <c r="K72" i="3" s="1"/>
  <c r="AK17" i="1"/>
  <c r="N99" i="3" s="1" a="1"/>
  <c r="N99" i="3" s="1"/>
  <c r="AK20" i="1"/>
  <c r="Q126" i="3" s="1" a="1"/>
  <c r="Q126" i="3" s="1"/>
  <c r="K8" i="2"/>
  <c r="AK13" i="1"/>
  <c r="J63" i="3" s="1" a="1"/>
  <c r="J63" i="3" s="1"/>
  <c r="AK16" i="1"/>
  <c r="M90" i="3" s="1" a="1"/>
  <c r="M90" i="3" s="1"/>
  <c r="AK19" i="1"/>
  <c r="P117" i="3" s="1" a="1"/>
  <c r="P117" i="3" s="1"/>
  <c r="AK34" i="1"/>
  <c r="AK38" i="1"/>
  <c r="AK42" i="1"/>
  <c r="AK46" i="1"/>
  <c r="AK50" i="1"/>
  <c r="AK54" i="1"/>
  <c r="AK58" i="1"/>
  <c r="AK62" i="1"/>
  <c r="AK66" i="1"/>
  <c r="K32" i="6"/>
  <c r="AK9" i="1"/>
  <c r="F27" i="3" s="1" a="1"/>
  <c r="F27" i="3" s="1"/>
  <c r="AK15" i="1"/>
  <c r="L81" i="3" s="1" a="1"/>
  <c r="L81" i="3" s="1"/>
  <c r="AK18" i="1"/>
  <c r="O108" i="3" s="1" a="1"/>
  <c r="O108" i="3" s="1"/>
  <c r="AK30" i="1"/>
  <c r="AA216" i="3" s="1" a="1"/>
  <c r="AA216" i="3" s="1"/>
  <c r="AK28" i="1"/>
  <c r="Y198" i="3" s="1" a="1"/>
  <c r="Y198" i="3" s="1"/>
  <c r="AK35" i="1"/>
  <c r="AK39" i="1"/>
  <c r="AK43" i="1"/>
  <c r="AK47" i="1"/>
  <c r="AK51" i="1"/>
  <c r="AK55" i="1"/>
  <c r="AK59" i="1"/>
  <c r="AK63" i="1"/>
  <c r="D9" i="3" a="1"/>
  <c r="D9" i="3" s="1"/>
  <c r="R19" i="7"/>
  <c r="R38" i="6"/>
  <c r="Z19" i="7"/>
  <c r="Z38" i="6"/>
  <c r="AH19" i="7"/>
  <c r="AP19" i="7"/>
  <c r="AX19" i="7"/>
  <c r="M19" i="7"/>
  <c r="M38" i="6"/>
  <c r="E32" i="4"/>
  <c r="U19" i="7"/>
  <c r="U38" i="6"/>
  <c r="AC19" i="7"/>
  <c r="AC38" i="6"/>
  <c r="AK19" i="7"/>
  <c r="G32" i="4"/>
  <c r="AS19" i="7"/>
  <c r="BA19" i="7"/>
  <c r="BI19" i="7"/>
  <c r="F32" i="4"/>
  <c r="N19" i="7"/>
  <c r="N38" i="6"/>
  <c r="V19" i="7"/>
  <c r="V38" i="6"/>
  <c r="AD38" i="6"/>
  <c r="AD19" i="7"/>
  <c r="AL19" i="7"/>
  <c r="AT19" i="7"/>
  <c r="BB19" i="7"/>
  <c r="BJ19" i="7"/>
  <c r="BR19" i="7"/>
  <c r="O19" i="7"/>
  <c r="O38" i="6"/>
  <c r="W19" i="7"/>
  <c r="W38" i="6"/>
  <c r="AE19" i="7"/>
  <c r="AE38" i="6"/>
  <c r="AM19" i="7"/>
  <c r="AU19" i="7"/>
  <c r="BC19" i="7"/>
  <c r="BK19" i="7"/>
  <c r="P19" i="7"/>
  <c r="P38" i="6"/>
  <c r="X19" i="7"/>
  <c r="X38" i="6"/>
  <c r="AF19" i="7"/>
  <c r="AF38" i="6"/>
  <c r="AN19" i="7"/>
  <c r="AV19" i="7"/>
  <c r="BD19" i="7"/>
  <c r="BL19" i="7"/>
  <c r="H32" i="4"/>
  <c r="Q19" i="7"/>
  <c r="Q38" i="6"/>
  <c r="Y19" i="7"/>
  <c r="Y38" i="6"/>
  <c r="AG19" i="7"/>
  <c r="AO19" i="7"/>
  <c r="AW19" i="7"/>
  <c r="BE19" i="7"/>
  <c r="BF19" i="7"/>
  <c r="BN19" i="7"/>
  <c r="L19" i="7"/>
  <c r="L38" i="6"/>
  <c r="T19" i="7"/>
  <c r="T38" i="6"/>
  <c r="AB19" i="7"/>
  <c r="AB38" i="6"/>
  <c r="AJ19" i="7"/>
  <c r="AR19" i="7"/>
  <c r="AZ19" i="7"/>
  <c r="BH19" i="7"/>
  <c r="BP19" i="7"/>
  <c r="BM19" i="7"/>
  <c r="K19" i="7"/>
  <c r="K38" i="6"/>
  <c r="S19" i="7"/>
  <c r="S38" i="6"/>
  <c r="AA19" i="7"/>
  <c r="AA38" i="6"/>
  <c r="AI19" i="7"/>
  <c r="AQ19" i="7"/>
  <c r="AY19" i="7"/>
  <c r="BG19" i="7"/>
  <c r="BO19" i="7"/>
  <c r="BQ19" i="7"/>
  <c r="X11" i="6"/>
  <c r="F9" i="6"/>
  <c r="H9" i="6"/>
  <c r="N11" i="7"/>
  <c r="T11" i="7"/>
  <c r="AG11" i="7"/>
  <c r="AT11" i="7"/>
  <c r="BA11" i="7"/>
  <c r="BI11" i="7"/>
  <c r="I33" i="6"/>
  <c r="K22" i="5"/>
  <c r="K15" i="7" s="1"/>
  <c r="K8" i="6"/>
  <c r="G6" i="6"/>
  <c r="E10" i="6"/>
  <c r="G9" i="6"/>
  <c r="U8" i="6"/>
  <c r="AC8" i="6"/>
  <c r="F7" i="6"/>
  <c r="X8" i="6"/>
  <c r="H7" i="6"/>
  <c r="M8" i="6"/>
  <c r="G7" i="6"/>
  <c r="I9" i="6"/>
  <c r="H33" i="6"/>
  <c r="F6" i="6"/>
  <c r="U11" i="7"/>
  <c r="AH11" i="7"/>
  <c r="AN11" i="7"/>
  <c r="BB11" i="7"/>
  <c r="BJ11" i="7"/>
  <c r="BQ11" i="7"/>
  <c r="V11" i="7"/>
  <c r="AB11" i="7"/>
  <c r="AO11" i="7"/>
  <c r="BC11" i="7"/>
  <c r="BK11" i="7"/>
  <c r="BR11" i="7"/>
  <c r="E9" i="6"/>
  <c r="P11" i="7"/>
  <c r="AC11" i="7"/>
  <c r="AP11" i="7"/>
  <c r="AV11" i="7"/>
  <c r="BD11" i="7"/>
  <c r="Q11" i="7"/>
  <c r="AD11" i="7"/>
  <c r="AJ11" i="7"/>
  <c r="AW11" i="7"/>
  <c r="BE11" i="7"/>
  <c r="BM11" i="7"/>
  <c r="R11" i="7"/>
  <c r="X11" i="7"/>
  <c r="AK11" i="7"/>
  <c r="AX11" i="7"/>
  <c r="BF11" i="7"/>
  <c r="L11" i="7"/>
  <c r="Y11" i="7"/>
  <c r="AL11" i="7"/>
  <c r="AR11" i="7"/>
  <c r="AY11" i="7"/>
  <c r="H10" i="6"/>
  <c r="M11" i="7"/>
  <c r="Z11" i="7"/>
  <c r="AF11" i="7"/>
  <c r="AS11" i="7"/>
  <c r="AZ11" i="7"/>
  <c r="BL11" i="7"/>
  <c r="BG11" i="7"/>
  <c r="K11" i="7"/>
  <c r="O11" i="7"/>
  <c r="S11" i="7"/>
  <c r="W11" i="7"/>
  <c r="AA11" i="7"/>
  <c r="AE11" i="7"/>
  <c r="AI11" i="7"/>
  <c r="AM11" i="7"/>
  <c r="AQ11" i="7"/>
  <c r="AU11" i="7"/>
  <c r="BH11" i="7"/>
  <c r="E33" i="6"/>
  <c r="BN11" i="7"/>
  <c r="F33" i="6"/>
  <c r="BO11" i="7"/>
  <c r="G33" i="6"/>
  <c r="BP11" i="7"/>
  <c r="AW414" i="3" l="1" a="1"/>
  <c r="AW414" i="3" s="1"/>
  <c r="AW415" i="3" s="1"/>
  <c r="AX412" i="3" s="1"/>
  <c r="AU32" i="6"/>
  <c r="BL32" i="6"/>
  <c r="BA32" i="6"/>
  <c r="AQ32" i="6"/>
  <c r="AJ32" i="6"/>
  <c r="BE32" i="6"/>
  <c r="BB32" i="6"/>
  <c r="BD32" i="6"/>
  <c r="BJ32" i="6"/>
  <c r="BP32" i="6"/>
  <c r="AK32" i="6"/>
  <c r="AS32" i="6"/>
  <c r="AY32" i="6"/>
  <c r="AL32" i="6"/>
  <c r="AO32" i="6"/>
  <c r="AT32" i="6"/>
  <c r="AZ32" i="6"/>
  <c r="BN32" i="6"/>
  <c r="BM32" i="6"/>
  <c r="AV32" i="6"/>
  <c r="AH32" i="6"/>
  <c r="AM32" i="6"/>
  <c r="AR32" i="6"/>
  <c r="BF32" i="6"/>
  <c r="BO32" i="6"/>
  <c r="AI32" i="6"/>
  <c r="BH32" i="6"/>
  <c r="BK32" i="6"/>
  <c r="AG32" i="6"/>
  <c r="AW32" i="6"/>
  <c r="AX32" i="6"/>
  <c r="AN32" i="6"/>
  <c r="BG32" i="6"/>
  <c r="BC32" i="6"/>
  <c r="BQ32" i="6"/>
  <c r="BI32" i="6"/>
  <c r="AP32" i="6"/>
  <c r="AP351" i="3" a="1"/>
  <c r="AP351" i="3" s="1"/>
  <c r="AP352" i="3" s="1"/>
  <c r="AQ349" i="3" s="1"/>
  <c r="BB459" i="3" a="1"/>
  <c r="BB459" i="3" s="1"/>
  <c r="BB460" i="3" s="1"/>
  <c r="BC457" i="3" s="1"/>
  <c r="AY432" i="3" a="1"/>
  <c r="AY432" i="3" s="1"/>
  <c r="AY433" i="3" s="1"/>
  <c r="AZ430" i="3" s="1"/>
  <c r="AI288" i="3" a="1"/>
  <c r="AI288" i="3" s="1"/>
  <c r="AI289" i="3" s="1"/>
  <c r="AJ286" i="3" s="1"/>
  <c r="AS378" i="3" a="1"/>
  <c r="AS378" i="3" s="1"/>
  <c r="AS379" i="3" s="1"/>
  <c r="AT376" i="3" s="1"/>
  <c r="AT378" i="3" s="1" a="1"/>
  <c r="AT378" i="3" s="1"/>
  <c r="AL315" i="3" a="1"/>
  <c r="AL315" i="3" s="1"/>
  <c r="AL316" i="3" s="1"/>
  <c r="AM313" i="3" s="1"/>
  <c r="AH279" i="3" a="1"/>
  <c r="AH279" i="3" s="1"/>
  <c r="AH280" i="3" s="1"/>
  <c r="AI277" i="3" s="1"/>
  <c r="BG504" i="3" a="1"/>
  <c r="BG504" i="3" s="1"/>
  <c r="BG505" i="3" s="1"/>
  <c r="BH502" i="3" s="1"/>
  <c r="BC468" i="3" a="1"/>
  <c r="BC468" i="3" s="1"/>
  <c r="BC469" i="3" s="1"/>
  <c r="BD466" i="3" s="1"/>
  <c r="AT387" i="3" a="1"/>
  <c r="AT387" i="3" s="1"/>
  <c r="AT388" i="3" s="1"/>
  <c r="AU385" i="3" s="1"/>
  <c r="BD477" i="3" a="1"/>
  <c r="BD477" i="3" s="1"/>
  <c r="BD478" i="3" s="1"/>
  <c r="BE475" i="3" s="1"/>
  <c r="AM324" i="3" a="1"/>
  <c r="AM324" i="3" s="1"/>
  <c r="AM325" i="3" s="1"/>
  <c r="AN322" i="3" s="1"/>
  <c r="AK306" i="3" a="1"/>
  <c r="AK306" i="3" s="1"/>
  <c r="AK307" i="3" s="1"/>
  <c r="AL304" i="3" s="1"/>
  <c r="BJ531" i="3" a="1"/>
  <c r="BJ531" i="3" s="1"/>
  <c r="BJ532" i="3" s="1"/>
  <c r="BK529" i="3" s="1"/>
  <c r="AD243" i="3" a="1"/>
  <c r="AD243" i="3" s="1"/>
  <c r="AD244" i="3" s="1"/>
  <c r="AE241" i="3" s="1"/>
  <c r="AG270" i="3" a="1"/>
  <c r="AG270" i="3" s="1"/>
  <c r="AG271" i="3" s="1"/>
  <c r="AH268" i="3" s="1"/>
  <c r="BE486" i="3" a="1"/>
  <c r="BE486" i="3" s="1"/>
  <c r="BE487" i="3" s="1"/>
  <c r="BF484" i="3" s="1"/>
  <c r="AF261" i="3" a="1"/>
  <c r="AF261" i="3" s="1"/>
  <c r="AF262" i="3" s="1"/>
  <c r="AG259" i="3" s="1"/>
  <c r="AX423" i="3" a="1"/>
  <c r="AX423" i="3" s="1"/>
  <c r="AX424" i="3" s="1"/>
  <c r="AY421" i="3" s="1"/>
  <c r="BA450" i="3" a="1"/>
  <c r="BA450" i="3" s="1"/>
  <c r="BA451" i="3" s="1"/>
  <c r="BB448" i="3" s="1"/>
  <c r="BH513" i="3" a="1"/>
  <c r="BH513" i="3" s="1"/>
  <c r="BH514" i="3" s="1"/>
  <c r="BI511" i="3" s="1"/>
  <c r="AU396" i="3" a="1"/>
  <c r="AU396" i="3" s="1"/>
  <c r="AU397" i="3" s="1"/>
  <c r="AV394" i="3" s="1"/>
  <c r="AV395" i="3" s="1"/>
  <c r="AZ441" i="3" a="1"/>
  <c r="AZ441" i="3" s="1"/>
  <c r="AZ442" i="3" s="1"/>
  <c r="BA439" i="3" s="1"/>
  <c r="AQ360" i="3" a="1"/>
  <c r="AQ360" i="3" s="1"/>
  <c r="AQ361" i="3" s="1"/>
  <c r="AR358" i="3" s="1"/>
  <c r="AO342" i="3" a="1"/>
  <c r="AO342" i="3" s="1"/>
  <c r="AO343" i="3" s="1"/>
  <c r="AP340" i="3" s="1"/>
  <c r="AV405" i="3" a="1"/>
  <c r="AV405" i="3" s="1"/>
  <c r="AV406" i="3" s="1"/>
  <c r="AW403" i="3" s="1"/>
  <c r="AR369" i="3" a="1"/>
  <c r="AR369" i="3" s="1"/>
  <c r="AR370" i="3" s="1"/>
  <c r="AS367" i="3" s="1"/>
  <c r="AN333" i="3" a="1"/>
  <c r="AN333" i="3" s="1"/>
  <c r="AN334" i="3" s="1"/>
  <c r="AO331" i="3" s="1"/>
  <c r="AE252" i="3" a="1"/>
  <c r="AE252" i="3" s="1"/>
  <c r="AE253" i="3" s="1"/>
  <c r="AF250" i="3" s="1"/>
  <c r="BF495" i="3" a="1"/>
  <c r="BF495" i="3" s="1"/>
  <c r="BF496" i="3" s="1"/>
  <c r="BG493" i="3" s="1"/>
  <c r="BG492" i="3" s="1"/>
  <c r="BG500" i="3" s="1"/>
  <c r="BI522" i="3" a="1"/>
  <c r="BI522" i="3" s="1"/>
  <c r="BI523" i="3" s="1"/>
  <c r="BJ520" i="3" s="1"/>
  <c r="AJ297" i="3" a="1"/>
  <c r="AJ297" i="3" s="1"/>
  <c r="AJ298" i="3" s="1"/>
  <c r="AK295" i="3" s="1"/>
  <c r="BK540" i="3" a="1"/>
  <c r="BK540" i="3" s="1"/>
  <c r="BK541" i="3" s="1"/>
  <c r="L82" i="3"/>
  <c r="M79" i="3" s="1"/>
  <c r="M78" i="3" s="1"/>
  <c r="M86" i="3" s="1"/>
  <c r="V172" i="3"/>
  <c r="W169" i="3" s="1"/>
  <c r="W168" i="3" s="1"/>
  <c r="W176" i="3" s="1"/>
  <c r="L19" i="2"/>
  <c r="O6" i="2"/>
  <c r="O13" i="2" s="1"/>
  <c r="K13" i="6"/>
  <c r="K17" i="4"/>
  <c r="K28" i="6" s="1"/>
  <c r="K15" i="4"/>
  <c r="K6" i="4"/>
  <c r="W181" i="3"/>
  <c r="X178" i="3" s="1"/>
  <c r="X180" i="3" s="1" a="1"/>
  <c r="X180" i="3" s="1"/>
  <c r="S145" i="3"/>
  <c r="T142" i="3" s="1"/>
  <c r="T144" i="3" s="1" a="1"/>
  <c r="T144" i="3" s="1"/>
  <c r="X190" i="3"/>
  <c r="Y187" i="3" s="1"/>
  <c r="Y186" i="3" s="1"/>
  <c r="Y194" i="3" s="1"/>
  <c r="T154" i="3"/>
  <c r="U151" i="3" s="1"/>
  <c r="U150" i="3" s="1"/>
  <c r="U158" i="3" s="1"/>
  <c r="Z208" i="3"/>
  <c r="AA205" i="3" s="1"/>
  <c r="AA207" i="3" s="1" a="1"/>
  <c r="AA207" i="3" s="1"/>
  <c r="K73" i="3"/>
  <c r="L70" i="3" s="1"/>
  <c r="E19" i="3"/>
  <c r="F16" i="3" s="1"/>
  <c r="F28" i="3"/>
  <c r="G25" i="3" s="1"/>
  <c r="AA217" i="3"/>
  <c r="AB214" i="3" s="1"/>
  <c r="AB226" i="3"/>
  <c r="AC223" i="3" s="1"/>
  <c r="G37" i="3"/>
  <c r="H34" i="3" s="1"/>
  <c r="Q127" i="3"/>
  <c r="R124" i="3" s="1"/>
  <c r="M91" i="3"/>
  <c r="N88" i="3" s="1"/>
  <c r="N100" i="3"/>
  <c r="O97" i="3" s="1"/>
  <c r="H46" i="3"/>
  <c r="I43" i="3" s="1"/>
  <c r="J64" i="3"/>
  <c r="K61" i="3" s="1"/>
  <c r="O109" i="3"/>
  <c r="P106" i="3" s="1"/>
  <c r="Y199" i="3"/>
  <c r="Z196" i="3" s="1"/>
  <c r="U163" i="3"/>
  <c r="V160" i="3" s="1"/>
  <c r="J53" i="3"/>
  <c r="J51" i="3"/>
  <c r="J59" i="3" s="1"/>
  <c r="J54" i="3" a="1"/>
  <c r="J54" i="3" s="1"/>
  <c r="R136" i="3"/>
  <c r="S133" i="3" s="1"/>
  <c r="P118" i="3"/>
  <c r="Q115" i="3" s="1"/>
  <c r="AC235" i="3"/>
  <c r="AD232" i="3" s="1"/>
  <c r="D12" i="3"/>
  <c r="D2" i="3" s="1"/>
  <c r="E20" i="3" a="1"/>
  <c r="E20" i="3" s="1"/>
  <c r="D10" i="3"/>
  <c r="D13" i="3" s="1"/>
  <c r="L16" i="4"/>
  <c r="L18" i="4"/>
  <c r="L29" i="6" s="1"/>
  <c r="X7" i="2"/>
  <c r="M5" i="2"/>
  <c r="M19" i="2" s="1"/>
  <c r="L28" i="5"/>
  <c r="M29" i="5"/>
  <c r="L18" i="7"/>
  <c r="L8" i="2"/>
  <c r="AD12" i="6"/>
  <c r="L12" i="6"/>
  <c r="G14" i="10"/>
  <c r="F15" i="10"/>
  <c r="E15" i="10"/>
  <c r="F13" i="10"/>
  <c r="G16" i="10"/>
  <c r="E13" i="10"/>
  <c r="F16" i="10"/>
  <c r="F14" i="10"/>
  <c r="H15" i="10"/>
  <c r="G15" i="10"/>
  <c r="H13" i="10"/>
  <c r="I16" i="10"/>
  <c r="G13" i="10"/>
  <c r="H16" i="10"/>
  <c r="I14" i="10"/>
  <c r="H14" i="10"/>
  <c r="E16" i="10"/>
  <c r="I15" i="10"/>
  <c r="E14" i="10"/>
  <c r="I13" i="10"/>
  <c r="AE12" i="6"/>
  <c r="T12" i="6"/>
  <c r="AB12" i="6"/>
  <c r="L5" i="4"/>
  <c r="P12" i="6"/>
  <c r="AA12" i="6"/>
  <c r="W12" i="6"/>
  <c r="L28" i="4"/>
  <c r="L35" i="6" s="1"/>
  <c r="N12" i="6"/>
  <c r="O12" i="6"/>
  <c r="S12" i="6"/>
  <c r="M12" i="6"/>
  <c r="Z12" i="6"/>
  <c r="AF12" i="6"/>
  <c r="Q12" i="6"/>
  <c r="V12" i="6"/>
  <c r="H11" i="6"/>
  <c r="Y12" i="6"/>
  <c r="E11" i="6"/>
  <c r="K9" i="2"/>
  <c r="H8" i="6"/>
  <c r="R12" i="6"/>
  <c r="G11" i="6"/>
  <c r="K12" i="6"/>
  <c r="F8" i="6"/>
  <c r="AC12" i="6"/>
  <c r="M25" i="5"/>
  <c r="M16" i="7" s="1"/>
  <c r="I38" i="6"/>
  <c r="F19" i="7"/>
  <c r="H19" i="7"/>
  <c r="G8" i="6"/>
  <c r="L22" i="5"/>
  <c r="K27" i="4"/>
  <c r="G38" i="6"/>
  <c r="D15" i="8"/>
  <c r="F11" i="7"/>
  <c r="I11" i="7"/>
  <c r="I11" i="6"/>
  <c r="R15" i="8"/>
  <c r="G19" i="7"/>
  <c r="F38" i="6"/>
  <c r="J15" i="8"/>
  <c r="G11" i="7"/>
  <c r="X12" i="6"/>
  <c r="F11" i="6"/>
  <c r="I19" i="7"/>
  <c r="H38" i="6"/>
  <c r="H11" i="7"/>
  <c r="K20" i="6"/>
  <c r="F15" i="8"/>
  <c r="I8" i="6"/>
  <c r="E38" i="6"/>
  <c r="K27" i="6"/>
  <c r="E11" i="7"/>
  <c r="N15" i="8"/>
  <c r="E8" i="6"/>
  <c r="U12" i="6"/>
  <c r="E19" i="7"/>
  <c r="K29" i="6"/>
  <c r="H15" i="8" l="1"/>
  <c r="P15" i="8"/>
  <c r="L15" i="8"/>
  <c r="T15" i="8"/>
  <c r="M80" i="3"/>
  <c r="M81" i="3" a="1"/>
  <c r="M81" i="3" s="1"/>
  <c r="W171" i="3" a="1"/>
  <c r="W171" i="3" s="1"/>
  <c r="W170" i="3"/>
  <c r="X177" i="3"/>
  <c r="X185" i="3" s="1"/>
  <c r="X179" i="3"/>
  <c r="AV393" i="3"/>
  <c r="AV401" i="3" s="1"/>
  <c r="AV396" i="3" a="1"/>
  <c r="AV396" i="3" s="1"/>
  <c r="AV397" i="3" s="1"/>
  <c r="AW394" i="3" s="1"/>
  <c r="M28" i="5"/>
  <c r="L17" i="7"/>
  <c r="AT377" i="3"/>
  <c r="AT379" i="3" s="1"/>
  <c r="AU376" i="3" s="1"/>
  <c r="AT375" i="3"/>
  <c r="AT383" i="3" s="1"/>
  <c r="L13" i="6"/>
  <c r="L17" i="4"/>
  <c r="L28" i="6" s="1"/>
  <c r="L6" i="4"/>
  <c r="L21" i="6" s="1"/>
  <c r="F29" i="3" a="1"/>
  <c r="F29" i="3" s="1"/>
  <c r="P6" i="2"/>
  <c r="P13" i="2" s="1"/>
  <c r="T143" i="3"/>
  <c r="T145" i="3" s="1"/>
  <c r="U142" i="3" s="1"/>
  <c r="U144" i="3" s="1" a="1"/>
  <c r="U144" i="3" s="1"/>
  <c r="T141" i="3"/>
  <c r="T149" i="3" s="1"/>
  <c r="BG494" i="3"/>
  <c r="BG495" i="3" a="1"/>
  <c r="BG495" i="3" s="1"/>
  <c r="E21" i="3"/>
  <c r="U153" i="3" a="1"/>
  <c r="U153" i="3" s="1"/>
  <c r="J55" i="3"/>
  <c r="K52" i="3" s="1"/>
  <c r="K51" i="3" s="1"/>
  <c r="K59" i="3" s="1"/>
  <c r="U152" i="3"/>
  <c r="AA206" i="3"/>
  <c r="AA208" i="3" s="1"/>
  <c r="AB205" i="3" s="1"/>
  <c r="Y189" i="3" a="1"/>
  <c r="Y189" i="3" s="1"/>
  <c r="Y188" i="3"/>
  <c r="AA204" i="3"/>
  <c r="AA212" i="3" s="1"/>
  <c r="AQ351" i="3" a="1"/>
  <c r="AQ351" i="3" s="1"/>
  <c r="AQ350" i="3"/>
  <c r="AQ348" i="3"/>
  <c r="AQ356" i="3" s="1"/>
  <c r="AH270" i="3" a="1"/>
  <c r="AH270" i="3" s="1"/>
  <c r="AH267" i="3"/>
  <c r="AH275" i="3" s="1"/>
  <c r="AH269" i="3"/>
  <c r="BD468" i="3" a="1"/>
  <c r="BD468" i="3" s="1"/>
  <c r="BD467" i="3"/>
  <c r="BD465" i="3"/>
  <c r="BD473" i="3" s="1"/>
  <c r="AX411" i="3"/>
  <c r="AX419" i="3" s="1"/>
  <c r="AX414" i="3" a="1"/>
  <c r="AX414" i="3" s="1"/>
  <c r="AX413" i="3"/>
  <c r="AS366" i="3"/>
  <c r="AS374" i="3" s="1"/>
  <c r="AS369" i="3" a="1"/>
  <c r="AS369" i="3" s="1"/>
  <c r="AS368" i="3"/>
  <c r="AM315" i="3" a="1"/>
  <c r="AM315" i="3" s="1"/>
  <c r="AM312" i="3"/>
  <c r="AM320" i="3" s="1"/>
  <c r="AM314" i="3"/>
  <c r="P108" i="3" a="1"/>
  <c r="P108" i="3" s="1"/>
  <c r="P107" i="3"/>
  <c r="P105" i="3"/>
  <c r="P113" i="3" s="1"/>
  <c r="K60" i="3"/>
  <c r="K68" i="3" s="1"/>
  <c r="K63" i="3" a="1"/>
  <c r="K63" i="3" s="1"/>
  <c r="K62" i="3"/>
  <c r="S134" i="3"/>
  <c r="S135" i="3" a="1"/>
  <c r="S135" i="3" s="1"/>
  <c r="S132" i="3"/>
  <c r="S140" i="3" s="1"/>
  <c r="AY420" i="3"/>
  <c r="AY428" i="3" s="1"/>
  <c r="AY423" i="3" a="1"/>
  <c r="AY423" i="3" s="1"/>
  <c r="AY422" i="3"/>
  <c r="I42" i="3"/>
  <c r="I50" i="3" s="1"/>
  <c r="I44" i="3"/>
  <c r="I45" i="3" a="1"/>
  <c r="I45" i="3" s="1"/>
  <c r="AL305" i="3"/>
  <c r="AL303" i="3"/>
  <c r="AL311" i="3" s="1"/>
  <c r="AL306" i="3" a="1"/>
  <c r="AL306" i="3" s="1"/>
  <c r="BI512" i="3"/>
  <c r="BI510" i="3"/>
  <c r="BI518" i="3" s="1"/>
  <c r="BI513" i="3" a="1"/>
  <c r="BI513" i="3" s="1"/>
  <c r="BK530" i="3"/>
  <c r="BK528" i="3"/>
  <c r="BK536" i="3" s="1"/>
  <c r="BK531" i="3" a="1"/>
  <c r="BK531" i="3" s="1"/>
  <c r="AO330" i="3"/>
  <c r="AO338" i="3" s="1"/>
  <c r="AO332" i="3"/>
  <c r="AO333" i="3" a="1"/>
  <c r="AO333" i="3" s="1"/>
  <c r="AN323" i="3"/>
  <c r="AN324" i="3" a="1"/>
  <c r="AN324" i="3" s="1"/>
  <c r="AN321" i="3"/>
  <c r="AN329" i="3" s="1"/>
  <c r="X181" i="3"/>
  <c r="Y178" i="3" s="1"/>
  <c r="AR360" i="3" a="1"/>
  <c r="AR360" i="3" s="1"/>
  <c r="AR359" i="3"/>
  <c r="AR357" i="3"/>
  <c r="AR365" i="3" s="1"/>
  <c r="BE477" i="3" a="1"/>
  <c r="BE477" i="3" s="1"/>
  <c r="BE474" i="3"/>
  <c r="BE482" i="3" s="1"/>
  <c r="BE476" i="3"/>
  <c r="AK294" i="3"/>
  <c r="AK302" i="3" s="1"/>
  <c r="AK297" i="3" a="1"/>
  <c r="AK297" i="3" s="1"/>
  <c r="AK296" i="3"/>
  <c r="BH503" i="3"/>
  <c r="BH501" i="3"/>
  <c r="BH509" i="3" s="1"/>
  <c r="BH504" i="3" a="1"/>
  <c r="BH504" i="3" s="1"/>
  <c r="BJ521" i="3"/>
  <c r="BJ522" i="3" a="1"/>
  <c r="BJ522" i="3" s="1"/>
  <c r="BJ519" i="3"/>
  <c r="BJ527" i="3" s="1"/>
  <c r="N90" i="3" a="1"/>
  <c r="N90" i="3" s="1"/>
  <c r="N87" i="3"/>
  <c r="N95" i="3" s="1"/>
  <c r="N89" i="3"/>
  <c r="AF251" i="3"/>
  <c r="AF249" i="3"/>
  <c r="AF257" i="3" s="1"/>
  <c r="AF252" i="3" a="1"/>
  <c r="AF252" i="3" s="1"/>
  <c r="AW405" i="3" a="1"/>
  <c r="AW405" i="3" s="1"/>
  <c r="AW402" i="3"/>
  <c r="AW410" i="3" s="1"/>
  <c r="AW404" i="3"/>
  <c r="AE240" i="3"/>
  <c r="AE248" i="3" s="1"/>
  <c r="AE242" i="3"/>
  <c r="AE243" i="3" a="1"/>
  <c r="AE243" i="3" s="1"/>
  <c r="V162" i="3" a="1"/>
  <c r="V162" i="3" s="1"/>
  <c r="V159" i="3"/>
  <c r="V167" i="3" s="1"/>
  <c r="V161" i="3"/>
  <c r="AG258" i="3"/>
  <c r="AG266" i="3" s="1"/>
  <c r="AG260" i="3"/>
  <c r="AG261" i="3" a="1"/>
  <c r="AG261" i="3" s="1"/>
  <c r="BB449" i="3"/>
  <c r="BB447" i="3"/>
  <c r="BB455" i="3" s="1"/>
  <c r="BB450" i="3" a="1"/>
  <c r="BB450" i="3" s="1"/>
  <c r="R125" i="3"/>
  <c r="R123" i="3"/>
  <c r="R131" i="3" s="1"/>
  <c r="R126" i="3" a="1"/>
  <c r="R126" i="3" s="1"/>
  <c r="AB215" i="3"/>
  <c r="AB213" i="3"/>
  <c r="AB221" i="3" s="1"/>
  <c r="AB216" i="3" a="1"/>
  <c r="AB216" i="3" s="1"/>
  <c r="AZ431" i="3"/>
  <c r="AZ429" i="3"/>
  <c r="AZ437" i="3" s="1"/>
  <c r="AZ432" i="3" a="1"/>
  <c r="AZ432" i="3" s="1"/>
  <c r="AU384" i="3"/>
  <c r="AU392" i="3" s="1"/>
  <c r="AU387" i="3" a="1"/>
  <c r="AU387" i="3" s="1"/>
  <c r="AU386" i="3"/>
  <c r="AD234" i="3" a="1"/>
  <c r="AD234" i="3" s="1"/>
  <c r="AD231" i="3"/>
  <c r="AD239" i="3" s="1"/>
  <c r="AD233" i="3"/>
  <c r="Z197" i="3"/>
  <c r="Z198" i="3" a="1"/>
  <c r="Z198" i="3" s="1"/>
  <c r="Z195" i="3"/>
  <c r="Z203" i="3" s="1"/>
  <c r="BF483" i="3"/>
  <c r="BF491" i="3" s="1"/>
  <c r="BF486" i="3" a="1"/>
  <c r="BF486" i="3" s="1"/>
  <c r="BF485" i="3"/>
  <c r="AP342" i="3" a="1"/>
  <c r="AP342" i="3" s="1"/>
  <c r="AP339" i="3"/>
  <c r="AP347" i="3" s="1"/>
  <c r="AP341" i="3"/>
  <c r="H33" i="3"/>
  <c r="H41" i="3" s="1"/>
  <c r="H36" i="3" a="1"/>
  <c r="H36" i="3" s="1"/>
  <c r="H35" i="3"/>
  <c r="AJ288" i="3" a="1"/>
  <c r="AJ288" i="3" s="1"/>
  <c r="AJ285" i="3"/>
  <c r="AJ293" i="3" s="1"/>
  <c r="AJ287" i="3"/>
  <c r="F18" i="3" a="1"/>
  <c r="F18" i="3" s="1"/>
  <c r="F15" i="3"/>
  <c r="F23" i="3" s="1"/>
  <c r="F17" i="3"/>
  <c r="BC459" i="3" a="1"/>
  <c r="BC459" i="3" s="1"/>
  <c r="BC456" i="3"/>
  <c r="BC464" i="3" s="1"/>
  <c r="BC458" i="3"/>
  <c r="Q114" i="3"/>
  <c r="Q122" i="3" s="1"/>
  <c r="Q116" i="3"/>
  <c r="Q117" i="3" a="1"/>
  <c r="Q117" i="3" s="1"/>
  <c r="AI279" i="3" a="1"/>
  <c r="AI279" i="3" s="1"/>
  <c r="AI278" i="3"/>
  <c r="AI276" i="3"/>
  <c r="AI284" i="3" s="1"/>
  <c r="BA440" i="3"/>
  <c r="BA441" i="3" a="1"/>
  <c r="BA441" i="3" s="1"/>
  <c r="BA438" i="3"/>
  <c r="BA446" i="3" s="1"/>
  <c r="O98" i="3"/>
  <c r="O99" i="3" a="1"/>
  <c r="O99" i="3" s="1"/>
  <c r="O96" i="3"/>
  <c r="O104" i="3" s="1"/>
  <c r="AC225" i="3" a="1"/>
  <c r="AC225" i="3" s="1"/>
  <c r="AC222" i="3"/>
  <c r="AC230" i="3" s="1"/>
  <c r="AC224" i="3"/>
  <c r="G27" i="3" a="1"/>
  <c r="G27" i="3" s="1"/>
  <c r="G26" i="3"/>
  <c r="G24" i="3"/>
  <c r="G32" i="3" s="1"/>
  <c r="L71" i="3"/>
  <c r="L69" i="3"/>
  <c r="L77" i="3" s="1"/>
  <c r="L72" i="3" a="1"/>
  <c r="L72" i="3" s="1"/>
  <c r="E22" i="3"/>
  <c r="E7" i="3"/>
  <c r="M18" i="4"/>
  <c r="M16" i="4"/>
  <c r="Y7" i="2"/>
  <c r="L9" i="2"/>
  <c r="N5" i="2"/>
  <c r="L27" i="4"/>
  <c r="L34" i="6" s="1"/>
  <c r="L15" i="7"/>
  <c r="N29" i="5"/>
  <c r="M18" i="7"/>
  <c r="M8" i="2"/>
  <c r="Z19" i="10"/>
  <c r="AJ19" i="10"/>
  <c r="BF19" i="10"/>
  <c r="V19" i="10"/>
  <c r="BL19" i="10"/>
  <c r="BJ19" i="10"/>
  <c r="Y19" i="10"/>
  <c r="T19" i="10"/>
  <c r="BQ19" i="10"/>
  <c r="AN19" i="10"/>
  <c r="AX19" i="10"/>
  <c r="N19" i="10"/>
  <c r="AZ19" i="10"/>
  <c r="AH19" i="10"/>
  <c r="AL19" i="10"/>
  <c r="AB19" i="10"/>
  <c r="X19" i="10"/>
  <c r="AW19" i="10"/>
  <c r="AM19" i="10"/>
  <c r="R19" i="10"/>
  <c r="BD19" i="10"/>
  <c r="M19" i="10"/>
  <c r="U19" i="10"/>
  <c r="BN19" i="10"/>
  <c r="AS19" i="10"/>
  <c r="BG19" i="10"/>
  <c r="BG23" i="4" s="1"/>
  <c r="AV19" i="10"/>
  <c r="AD19" i="10"/>
  <c r="BI19" i="10"/>
  <c r="BH19" i="10"/>
  <c r="AQ19" i="10"/>
  <c r="AP19" i="10"/>
  <c r="AO19" i="10"/>
  <c r="O19" i="10"/>
  <c r="AE19" i="10"/>
  <c r="AA19" i="10"/>
  <c r="BM19" i="10"/>
  <c r="AU19" i="10"/>
  <c r="AU23" i="4" s="1"/>
  <c r="AK19" i="10"/>
  <c r="AY19" i="10"/>
  <c r="BA19" i="10"/>
  <c r="BR19" i="10"/>
  <c r="S19" i="10"/>
  <c r="BK19" i="10"/>
  <c r="AI19" i="10"/>
  <c r="AI23" i="4" s="1"/>
  <c r="P19" i="10"/>
  <c r="BC19" i="10"/>
  <c r="BE19" i="10"/>
  <c r="W19" i="10"/>
  <c r="W23" i="4" s="1"/>
  <c r="AF19" i="10"/>
  <c r="AG19" i="10"/>
  <c r="AR19" i="10"/>
  <c r="BO19" i="10"/>
  <c r="Q19" i="10"/>
  <c r="BP19" i="10"/>
  <c r="L19" i="10"/>
  <c r="K19" i="10"/>
  <c r="K23" i="4" s="1"/>
  <c r="F18" i="10"/>
  <c r="I18" i="10"/>
  <c r="E18" i="10"/>
  <c r="H18" i="10"/>
  <c r="G18" i="10"/>
  <c r="BB19" i="10"/>
  <c r="AT19" i="10"/>
  <c r="AC19" i="10"/>
  <c r="M5" i="4"/>
  <c r="M13" i="7"/>
  <c r="N25" i="5"/>
  <c r="M28" i="4"/>
  <c r="M35" i="6" s="1"/>
  <c r="F12" i="6"/>
  <c r="E12" i="6"/>
  <c r="I12" i="6"/>
  <c r="G12" i="6"/>
  <c r="H12" i="6"/>
  <c r="K15" i="8"/>
  <c r="K34" i="6"/>
  <c r="G15" i="8"/>
  <c r="L20" i="6"/>
  <c r="L27" i="6"/>
  <c r="M22" i="5"/>
  <c r="K21" i="6"/>
  <c r="M32" i="6"/>
  <c r="S15" i="8"/>
  <c r="L32" i="6"/>
  <c r="O15" i="8"/>
  <c r="E22" i="4"/>
  <c r="M82" i="3" l="1"/>
  <c r="N79" i="3" s="1"/>
  <c r="N80" i="3" s="1"/>
  <c r="W172" i="3"/>
  <c r="X169" i="3" s="1"/>
  <c r="X170" i="3" s="1"/>
  <c r="BG496" i="3"/>
  <c r="BH493" i="3" s="1"/>
  <c r="BH494" i="3" s="1"/>
  <c r="K54" i="3" a="1"/>
  <c r="K54" i="3" s="1"/>
  <c r="K53" i="3"/>
  <c r="AP343" i="3"/>
  <c r="AQ340" i="3" s="1"/>
  <c r="AQ342" i="3" s="1" a="1"/>
  <c r="AQ342" i="3" s="1"/>
  <c r="AU375" i="3"/>
  <c r="AU383" i="3" s="1"/>
  <c r="Y190" i="3"/>
  <c r="Z187" i="3" s="1"/>
  <c r="Z186" i="3" s="1"/>
  <c r="Z194" i="3" s="1"/>
  <c r="N28" i="5"/>
  <c r="M17" i="7"/>
  <c r="AU378" i="3" a="1"/>
  <c r="AU378" i="3" s="1"/>
  <c r="N19" i="2"/>
  <c r="Q6" i="2"/>
  <c r="Q13" i="2" s="1"/>
  <c r="M13" i="6"/>
  <c r="M17" i="4"/>
  <c r="M28" i="6" s="1"/>
  <c r="M6" i="4"/>
  <c r="M21" i="6" s="1"/>
  <c r="AU377" i="3"/>
  <c r="U154" i="3"/>
  <c r="V151" i="3" s="1"/>
  <c r="V153" i="3" s="1" a="1"/>
  <c r="V153" i="3" s="1"/>
  <c r="BE478" i="3"/>
  <c r="BF475" i="3" s="1"/>
  <c r="BF477" i="3" s="1" a="1"/>
  <c r="BF477" i="3" s="1"/>
  <c r="BK532" i="3"/>
  <c r="K64" i="3"/>
  <c r="L61" i="3" s="1"/>
  <c r="L63" i="3" s="1" a="1"/>
  <c r="L63" i="3" s="1"/>
  <c r="AY424" i="3"/>
  <c r="AZ421" i="3" s="1"/>
  <c r="AZ422" i="3" s="1"/>
  <c r="AG262" i="3"/>
  <c r="AH259" i="3" s="1"/>
  <c r="AH258" i="3" s="1"/>
  <c r="AH266" i="3" s="1"/>
  <c r="F20" i="3"/>
  <c r="F30" i="3"/>
  <c r="G29" i="3"/>
  <c r="AW406" i="3"/>
  <c r="AX403" i="3" s="1"/>
  <c r="AX405" i="3" s="1" a="1"/>
  <c r="AX405" i="3" s="1"/>
  <c r="L73" i="3"/>
  <c r="M70" i="3" s="1"/>
  <c r="M71" i="3" s="1"/>
  <c r="AX415" i="3"/>
  <c r="AY412" i="3" s="1"/>
  <c r="AY414" i="3" s="1" a="1"/>
  <c r="AY414" i="3" s="1"/>
  <c r="BD469" i="3"/>
  <c r="BE466" i="3" s="1"/>
  <c r="BE465" i="3" s="1"/>
  <c r="BE473" i="3" s="1"/>
  <c r="Z199" i="3"/>
  <c r="AA196" i="3" s="1"/>
  <c r="AA198" i="3" s="1" a="1"/>
  <c r="AA198" i="3" s="1"/>
  <c r="AZ433" i="3"/>
  <c r="BA430" i="3" s="1"/>
  <c r="BA431" i="3" s="1"/>
  <c r="AF253" i="3"/>
  <c r="AG250" i="3" s="1"/>
  <c r="AG249" i="3" s="1"/>
  <c r="AG257" i="3" s="1"/>
  <c r="AL307" i="3"/>
  <c r="AM304" i="3" s="1"/>
  <c r="AM303" i="3" s="1"/>
  <c r="AM311" i="3" s="1"/>
  <c r="AE244" i="3"/>
  <c r="AF241" i="3" s="1"/>
  <c r="AF243" i="3" s="1" a="1"/>
  <c r="AF243" i="3" s="1"/>
  <c r="AJ289" i="3"/>
  <c r="AK286" i="3" s="1"/>
  <c r="AK285" i="3" s="1"/>
  <c r="AK293" i="3" s="1"/>
  <c r="U143" i="3"/>
  <c r="U145" i="3" s="1"/>
  <c r="V142" i="3" s="1"/>
  <c r="V144" i="3" s="1" a="1"/>
  <c r="V144" i="3" s="1"/>
  <c r="U141" i="3"/>
  <c r="U149" i="3" s="1"/>
  <c r="AU388" i="3"/>
  <c r="AV385" i="3" s="1"/>
  <c r="AV387" i="3" s="1" a="1"/>
  <c r="AV387" i="3" s="1"/>
  <c r="AH271" i="3"/>
  <c r="AI268" i="3" s="1"/>
  <c r="AI267" i="3" s="1"/>
  <c r="AI275" i="3" s="1"/>
  <c r="V163" i="3"/>
  <c r="W160" i="3" s="1"/>
  <c r="W161" i="3" s="1"/>
  <c r="AS370" i="3"/>
  <c r="AT367" i="3" s="1"/>
  <c r="AT369" i="3" s="1" a="1"/>
  <c r="AT369" i="3" s="1"/>
  <c r="AC226" i="3"/>
  <c r="AD223" i="3" s="1"/>
  <c r="AD222" i="3" s="1"/>
  <c r="AD230" i="3" s="1"/>
  <c r="N91" i="3"/>
  <c r="O88" i="3" s="1"/>
  <c r="O87" i="3" s="1"/>
  <c r="O95" i="3" s="1"/>
  <c r="R127" i="3"/>
  <c r="S124" i="3" s="1"/>
  <c r="S126" i="3" s="1" a="1"/>
  <c r="S126" i="3" s="1"/>
  <c r="H37" i="3"/>
  <c r="I34" i="3" s="1"/>
  <c r="I36" i="3" s="1" a="1"/>
  <c r="I36" i="3" s="1"/>
  <c r="F19" i="3"/>
  <c r="G16" i="3" s="1"/>
  <c r="G17" i="3" s="1"/>
  <c r="P109" i="3"/>
  <c r="Q106" i="3" s="1"/>
  <c r="Q108" i="3" s="1" a="1"/>
  <c r="Q108" i="3" s="1"/>
  <c r="BJ523" i="3"/>
  <c r="BK520" i="3" s="1"/>
  <c r="AB204" i="3"/>
  <c r="AB212" i="3" s="1"/>
  <c r="AB206" i="3"/>
  <c r="AB207" i="3" a="1"/>
  <c r="AB207" i="3" s="1"/>
  <c r="G28" i="3"/>
  <c r="H25" i="3" s="1"/>
  <c r="AI280" i="3"/>
  <c r="AJ277" i="3" s="1"/>
  <c r="AB217" i="3"/>
  <c r="AC214" i="3" s="1"/>
  <c r="AO334" i="3"/>
  <c r="AP331" i="3" s="1"/>
  <c r="I46" i="3"/>
  <c r="J43" i="3" s="1"/>
  <c r="S136" i="3"/>
  <c r="T133" i="3" s="1"/>
  <c r="BC460" i="3"/>
  <c r="BD457" i="3" s="1"/>
  <c r="BB451" i="3"/>
  <c r="BC448" i="3" s="1"/>
  <c r="BH505" i="3"/>
  <c r="BI502" i="3" s="1"/>
  <c r="Y177" i="3"/>
  <c r="Y185" i="3" s="1"/>
  <c r="Y179" i="3"/>
  <c r="Y180" i="3" a="1"/>
  <c r="Y180" i="3" s="1"/>
  <c r="BI514" i="3"/>
  <c r="BJ511" i="3" s="1"/>
  <c r="AM316" i="3"/>
  <c r="AN313" i="3" s="1"/>
  <c r="AN325" i="3"/>
  <c r="AO322" i="3" s="1"/>
  <c r="BH492" i="3"/>
  <c r="BH500" i="3" s="1"/>
  <c r="O100" i="3"/>
  <c r="P97" i="3" s="1"/>
  <c r="AK298" i="3"/>
  <c r="AL295" i="3" s="1"/>
  <c r="AR361" i="3"/>
  <c r="AS358" i="3" s="1"/>
  <c r="AW396" i="3" a="1"/>
  <c r="AW396" i="3" s="1"/>
  <c r="AW393" i="3"/>
  <c r="AW401" i="3" s="1"/>
  <c r="AW395" i="3"/>
  <c r="AQ352" i="3"/>
  <c r="AR349" i="3" s="1"/>
  <c r="Q118" i="3"/>
  <c r="R115" i="3" s="1"/>
  <c r="BA442" i="3"/>
  <c r="BB439" i="3" s="1"/>
  <c r="BF487" i="3"/>
  <c r="BG484" i="3" s="1"/>
  <c r="AD235" i="3"/>
  <c r="AE232" i="3" s="1"/>
  <c r="F31" i="3"/>
  <c r="G38" i="3" a="1"/>
  <c r="G38" i="3" s="1"/>
  <c r="D3" i="3"/>
  <c r="K22" i="2" s="1"/>
  <c r="K14" i="6" s="1"/>
  <c r="E8" i="3"/>
  <c r="E9" i="3" a="1"/>
  <c r="E9" i="3" s="1"/>
  <c r="E6" i="3"/>
  <c r="E11" i="3" s="1"/>
  <c r="N18" i="4"/>
  <c r="N29" i="6" s="1"/>
  <c r="N16" i="4"/>
  <c r="Z7" i="2"/>
  <c r="M9" i="2"/>
  <c r="O5" i="2"/>
  <c r="N28" i="4"/>
  <c r="N35" i="6" s="1"/>
  <c r="N16" i="7"/>
  <c r="M27" i="4"/>
  <c r="M34" i="6" s="1"/>
  <c r="M15" i="7"/>
  <c r="O29" i="5"/>
  <c r="N18" i="7"/>
  <c r="L31" i="6"/>
  <c r="AD23" i="4"/>
  <c r="AD6" i="7" s="1"/>
  <c r="AG23" i="4"/>
  <c r="AG6" i="7" s="1"/>
  <c r="S23" i="4"/>
  <c r="S6" i="7" s="1"/>
  <c r="AE23" i="4"/>
  <c r="AV23" i="4"/>
  <c r="AV6" i="7" s="1"/>
  <c r="AM23" i="4"/>
  <c r="AM6" i="7" s="1"/>
  <c r="AX23" i="4"/>
  <c r="AX6" i="7" s="1"/>
  <c r="BF23" i="4"/>
  <c r="BF6" i="7" s="1"/>
  <c r="BR23" i="4"/>
  <c r="BR6" i="7" s="1"/>
  <c r="AW23" i="4"/>
  <c r="AW6" i="7" s="1"/>
  <c r="AN23" i="4"/>
  <c r="AN6" i="7" s="1"/>
  <c r="AJ23" i="4"/>
  <c r="V23" i="4"/>
  <c r="V6" i="7" s="1"/>
  <c r="BA23" i="4"/>
  <c r="BA6" i="7" s="1"/>
  <c r="AO23" i="4"/>
  <c r="AO6" i="7" s="1"/>
  <c r="AS23" i="4"/>
  <c r="AS6" i="7" s="1"/>
  <c r="X23" i="4"/>
  <c r="X6" i="7" s="1"/>
  <c r="BQ23" i="4"/>
  <c r="BQ6" i="7" s="1"/>
  <c r="Z23" i="4"/>
  <c r="Z6" i="7" s="1"/>
  <c r="BK23" i="4"/>
  <c r="BK6" i="7" s="1"/>
  <c r="AC23" i="4"/>
  <c r="AC6" i="7" s="1"/>
  <c r="AF23" i="4"/>
  <c r="AF6" i="7" s="1"/>
  <c r="O23" i="4"/>
  <c r="O6" i="7" s="1"/>
  <c r="AT23" i="4"/>
  <c r="AT6" i="7" s="1"/>
  <c r="BB23" i="4"/>
  <c r="BB6" i="7" s="1"/>
  <c r="L23" i="4"/>
  <c r="L6" i="7" s="1"/>
  <c r="BE23" i="4"/>
  <c r="BE6" i="7" s="1"/>
  <c r="AY23" i="4"/>
  <c r="AP23" i="4"/>
  <c r="AP6" i="7" s="1"/>
  <c r="BN23" i="4"/>
  <c r="BN6" i="7" s="1"/>
  <c r="AB23" i="4"/>
  <c r="AB6" i="7" s="1"/>
  <c r="T23" i="4"/>
  <c r="T6" i="7" s="1"/>
  <c r="AA23" i="4"/>
  <c r="AA6" i="7" s="1"/>
  <c r="N23" i="4"/>
  <c r="N6" i="7" s="1"/>
  <c r="BC23" i="4"/>
  <c r="BC6" i="7" s="1"/>
  <c r="AL23" i="4"/>
  <c r="AL6" i="7" s="1"/>
  <c r="Q23" i="4"/>
  <c r="Q6" i="7" s="1"/>
  <c r="P23" i="4"/>
  <c r="P6" i="7" s="1"/>
  <c r="BH23" i="4"/>
  <c r="M23" i="4"/>
  <c r="AH23" i="4"/>
  <c r="AH6" i="7" s="1"/>
  <c r="BJ23" i="4"/>
  <c r="BJ6" i="7" s="1"/>
  <c r="AR23" i="4"/>
  <c r="AR6" i="7" s="1"/>
  <c r="R23" i="4"/>
  <c r="R6" i="7" s="1"/>
  <c r="BP23" i="4"/>
  <c r="BP6" i="7" s="1"/>
  <c r="AK23" i="4"/>
  <c r="AK6" i="7" s="1"/>
  <c r="AQ23" i="4"/>
  <c r="AQ6" i="7" s="1"/>
  <c r="U23" i="4"/>
  <c r="U6" i="7" s="1"/>
  <c r="Y23" i="4"/>
  <c r="Y6" i="7" s="1"/>
  <c r="BO23" i="4"/>
  <c r="BO6" i="7" s="1"/>
  <c r="BM23" i="4"/>
  <c r="BM6" i="7" s="1"/>
  <c r="BI23" i="4"/>
  <c r="BI6" i="7" s="1"/>
  <c r="BD23" i="4"/>
  <c r="BD6" i="7" s="1"/>
  <c r="AZ23" i="4"/>
  <c r="AZ6" i="7" s="1"/>
  <c r="BL23" i="4"/>
  <c r="BL6" i="7" s="1"/>
  <c r="AI6" i="7"/>
  <c r="AU6" i="7"/>
  <c r="BG6" i="7"/>
  <c r="K6" i="7"/>
  <c r="W6" i="7"/>
  <c r="N8" i="2"/>
  <c r="BL46" i="10" a="1"/>
  <c r="BL46" i="10" s="1"/>
  <c r="AQ41" i="10"/>
  <c r="AQ25" i="6" s="1"/>
  <c r="AT41" i="10"/>
  <c r="AT25" i="6" s="1"/>
  <c r="BF42" i="10" a="1"/>
  <c r="BF42" i="10" s="1"/>
  <c r="BP41" i="10"/>
  <c r="BP25" i="6" s="1"/>
  <c r="AS46" i="10" a="1"/>
  <c r="AS46" i="10" s="1"/>
  <c r="AR41" i="10"/>
  <c r="AR25" i="6" s="1"/>
  <c r="K41" i="10"/>
  <c r="M44" i="10" a="1"/>
  <c r="M44" i="10" s="1"/>
  <c r="AK46" i="10" a="1"/>
  <c r="AK46" i="10" s="1"/>
  <c r="AP42" i="10" a="1"/>
  <c r="AP42" i="10" s="1"/>
  <c r="AM41" i="10"/>
  <c r="AM25" i="6" s="1"/>
  <c r="BP44" i="10" a="1"/>
  <c r="BP44" i="10" s="1"/>
  <c r="AT46" i="10" a="1"/>
  <c r="AT46" i="10" s="1"/>
  <c r="AN44" i="10" a="1"/>
  <c r="AN44" i="10" s="1"/>
  <c r="AN42" i="10" a="1"/>
  <c r="AN42" i="10" s="1"/>
  <c r="AL42" i="10" a="1"/>
  <c r="AL42" i="10" s="1"/>
  <c r="BR42" i="10" a="1"/>
  <c r="BR42" i="10" s="1"/>
  <c r="AV43" i="10" a="1"/>
  <c r="AV43" i="10" s="1"/>
  <c r="BM46" i="10" a="1"/>
  <c r="BM46" i="10" s="1"/>
  <c r="AH44" i="10" a="1"/>
  <c r="AH44" i="10" s="1"/>
  <c r="T45" i="10" a="1"/>
  <c r="T45" i="10" s="1"/>
  <c r="N45" i="10" a="1"/>
  <c r="N45" i="10" s="1"/>
  <c r="Y44" i="10" a="1"/>
  <c r="Y44" i="10" s="1"/>
  <c r="AS45" i="10" a="1"/>
  <c r="AS45" i="10" s="1"/>
  <c r="AF41" i="10"/>
  <c r="AF25" i="6" s="1"/>
  <c r="S44" i="10" a="1"/>
  <c r="S44" i="10" s="1"/>
  <c r="Y45" i="10" a="1"/>
  <c r="Y45" i="10" s="1"/>
  <c r="AB44" i="10" a="1"/>
  <c r="AB44" i="10" s="1"/>
  <c r="BM42" i="10" a="1"/>
  <c r="BM42" i="10" s="1"/>
  <c r="L45" i="10" a="1"/>
  <c r="L45" i="10" s="1"/>
  <c r="AL43" i="10" a="1"/>
  <c r="AL43" i="10" s="1"/>
  <c r="AN43" i="10" a="1"/>
  <c r="AN43" i="10" s="1"/>
  <c r="O44" i="10" a="1"/>
  <c r="O44" i="10" s="1"/>
  <c r="AV42" i="10" a="1"/>
  <c r="AV42" i="10" s="1"/>
  <c r="AP46" i="10" a="1"/>
  <c r="AP46" i="10" s="1"/>
  <c r="AF45" i="10" a="1"/>
  <c r="AF45" i="10" s="1"/>
  <c r="BK42" i="10" a="1"/>
  <c r="BK42" i="10" s="1"/>
  <c r="V42" i="10" a="1"/>
  <c r="V42" i="10" s="1"/>
  <c r="AP44" i="10" a="1"/>
  <c r="AP44" i="10" s="1"/>
  <c r="AW45" i="10" a="1"/>
  <c r="AW45" i="10" s="1"/>
  <c r="AX44" i="10" a="1"/>
  <c r="AX44" i="10" s="1"/>
  <c r="BD44" i="10" a="1"/>
  <c r="BD44" i="10" s="1"/>
  <c r="AE42" i="10" a="1"/>
  <c r="AE42" i="10" s="1"/>
  <c r="AA43" i="10" a="1"/>
  <c r="AA43" i="10" s="1"/>
  <c r="BH41" i="10"/>
  <c r="BH25" i="6" s="1"/>
  <c r="AG41" i="10"/>
  <c r="AG25" i="6" s="1"/>
  <c r="AJ41" i="10"/>
  <c r="AJ25" i="6" s="1"/>
  <c r="BA41" i="10"/>
  <c r="BA25" i="6" s="1"/>
  <c r="BD41" i="10"/>
  <c r="BD25" i="6" s="1"/>
  <c r="BO41" i="10"/>
  <c r="BO25" i="6" s="1"/>
  <c r="W41" i="10"/>
  <c r="W25" i="6" s="1"/>
  <c r="W12" i="7" s="1"/>
  <c r="BB41" i="10"/>
  <c r="BB25" i="6" s="1"/>
  <c r="BI41" i="10"/>
  <c r="BI25" i="6" s="1"/>
  <c r="AB41" i="10"/>
  <c r="AB25" i="6" s="1"/>
  <c r="AI41" i="10"/>
  <c r="AI25" i="6" s="1"/>
  <c r="L41" i="10"/>
  <c r="V41" i="10"/>
  <c r="V25" i="6" s="1"/>
  <c r="AZ41" i="10"/>
  <c r="AZ25" i="6" s="1"/>
  <c r="AK41" i="10"/>
  <c r="AK25" i="6" s="1"/>
  <c r="BL41" i="10"/>
  <c r="BL25" i="6" s="1"/>
  <c r="BA45" i="10" a="1"/>
  <c r="BA45" i="10" s="1"/>
  <c r="M45" i="10" a="1"/>
  <c r="M45" i="10" s="1"/>
  <c r="S46" i="10" a="1"/>
  <c r="S46" i="10" s="1"/>
  <c r="AR43" i="10" a="1"/>
  <c r="AR43" i="10" s="1"/>
  <c r="AM45" i="10" a="1"/>
  <c r="AM45" i="10" s="1"/>
  <c r="O46" i="10" a="1"/>
  <c r="O46" i="10" s="1"/>
  <c r="N44" i="10" a="1"/>
  <c r="N44" i="10" s="1"/>
  <c r="AC42" i="10" a="1"/>
  <c r="AC42" i="10" s="1"/>
  <c r="S45" i="10" a="1"/>
  <c r="S45" i="10" s="1"/>
  <c r="AM44" i="10" a="1"/>
  <c r="AM44" i="10" s="1"/>
  <c r="Y43" i="10" a="1"/>
  <c r="Y43" i="10" s="1"/>
  <c r="V45" i="10" a="1"/>
  <c r="V45" i="10" s="1"/>
  <c r="BP42" i="10" a="1"/>
  <c r="BP42" i="10" s="1"/>
  <c r="BG46" i="10" a="1"/>
  <c r="BG46" i="10" s="1"/>
  <c r="W44" i="10" a="1"/>
  <c r="W44" i="10" s="1"/>
  <c r="BO44" i="10" a="1"/>
  <c r="BO44" i="10" s="1"/>
  <c r="BA42" i="10" a="1"/>
  <c r="BA42" i="10" s="1"/>
  <c r="AI42" i="10" a="1"/>
  <c r="AI42" i="10" s="1"/>
  <c r="AN46" i="10" a="1"/>
  <c r="AN46" i="10" s="1"/>
  <c r="BL45" i="10" a="1"/>
  <c r="BL45" i="10" s="1"/>
  <c r="AB42" i="10" a="1"/>
  <c r="AB42" i="10" s="1"/>
  <c r="AG42" i="10" a="1"/>
  <c r="AG42" i="10" s="1"/>
  <c r="AJ45" i="10" a="1"/>
  <c r="AJ45" i="10" s="1"/>
  <c r="U44" i="10" a="1"/>
  <c r="U44" i="10" s="1"/>
  <c r="BG42" i="10" a="1"/>
  <c r="BG42" i="10" s="1"/>
  <c r="L43" i="10" a="1"/>
  <c r="L43" i="10" s="1"/>
  <c r="AA44" i="10" a="1"/>
  <c r="AA44" i="10" s="1"/>
  <c r="BB42" i="10" a="1"/>
  <c r="BB42" i="10" s="1"/>
  <c r="Q44" i="10" a="1"/>
  <c r="Q44" i="10" s="1"/>
  <c r="W42" i="10" a="1"/>
  <c r="W42" i="10" s="1"/>
  <c r="T44" i="10" a="1"/>
  <c r="T44" i="10" s="1"/>
  <c r="AT42" i="10" a="1"/>
  <c r="AT42" i="10" s="1"/>
  <c r="Y42" i="10" a="1"/>
  <c r="Y42" i="10" s="1"/>
  <c r="BQ45" i="10" a="1"/>
  <c r="BQ45" i="10" s="1"/>
  <c r="BB44" i="10" a="1"/>
  <c r="BB44" i="10" s="1"/>
  <c r="BQ43" i="10" a="1"/>
  <c r="BQ43" i="10" s="1"/>
  <c r="BE44" i="10" a="1"/>
  <c r="BE44" i="10" s="1"/>
  <c r="AV44" i="10" a="1"/>
  <c r="AV44" i="10" s="1"/>
  <c r="AS42" i="10" a="1"/>
  <c r="AS42" i="10" s="1"/>
  <c r="Q43" i="10" a="1"/>
  <c r="Q43" i="10" s="1"/>
  <c r="AO43" i="10" a="1"/>
  <c r="AO43" i="10" s="1"/>
  <c r="W46" i="10" a="1"/>
  <c r="W46" i="10" s="1"/>
  <c r="AC46" i="10" a="1"/>
  <c r="AC46" i="10" s="1"/>
  <c r="R43" i="10" a="1"/>
  <c r="R43" i="10" s="1"/>
  <c r="AU42" i="10" a="1"/>
  <c r="AU42" i="10" s="1"/>
  <c r="BK43" i="10" a="1"/>
  <c r="BK43" i="10" s="1"/>
  <c r="R42" i="10" a="1"/>
  <c r="R42" i="10" s="1"/>
  <c r="AM46" i="10" a="1"/>
  <c r="AM46" i="10" s="1"/>
  <c r="U42" i="10" a="1"/>
  <c r="U42" i="10" s="1"/>
  <c r="W45" i="10" a="1"/>
  <c r="W45" i="10" s="1"/>
  <c r="BK44" i="10" a="1"/>
  <c r="BK44" i="10" s="1"/>
  <c r="BA44" i="10" a="1"/>
  <c r="BA44" i="10" s="1"/>
  <c r="AL46" i="10" a="1"/>
  <c r="AL46" i="10" s="1"/>
  <c r="AO46" i="10" a="1"/>
  <c r="AO46" i="10" s="1"/>
  <c r="BI45" i="10" a="1"/>
  <c r="BI45" i="10" s="1"/>
  <c r="AZ44" i="10" a="1"/>
  <c r="AZ44" i="10" s="1"/>
  <c r="AJ44" i="10" a="1"/>
  <c r="AJ44" i="10" s="1"/>
  <c r="BR45" i="10" a="1"/>
  <c r="BR45" i="10" s="1"/>
  <c r="Z46" i="10" a="1"/>
  <c r="Z46" i="10" s="1"/>
  <c r="AU43" i="10" a="1"/>
  <c r="AU43" i="10" s="1"/>
  <c r="AQ42" i="10" a="1"/>
  <c r="AQ42" i="10" s="1"/>
  <c r="BE46" i="10" a="1"/>
  <c r="BE46" i="10" s="1"/>
  <c r="BM45" i="10" a="1"/>
  <c r="BM45" i="10" s="1"/>
  <c r="BH46" i="10" a="1"/>
  <c r="BH46" i="10" s="1"/>
  <c r="AI46" i="10" a="1"/>
  <c r="AI46" i="10" s="1"/>
  <c r="AX46" i="10" a="1"/>
  <c r="AX46" i="10" s="1"/>
  <c r="BE45" i="10" a="1"/>
  <c r="BE45" i="10" s="1"/>
  <c r="BA46" i="10" a="1"/>
  <c r="BA46" i="10" s="1"/>
  <c r="AH46" i="10" a="1"/>
  <c r="AH46" i="10" s="1"/>
  <c r="AO44" i="10" a="1"/>
  <c r="AO44" i="10" s="1"/>
  <c r="BM43" i="10" a="1"/>
  <c r="BM43" i="10" s="1"/>
  <c r="AH43" i="10" a="1"/>
  <c r="AH43" i="10" s="1"/>
  <c r="AO42" i="10" a="1"/>
  <c r="AO42" i="10" s="1"/>
  <c r="AK43" i="10" a="1"/>
  <c r="AK43" i="10" s="1"/>
  <c r="U43" i="10" a="1"/>
  <c r="U43" i="10" s="1"/>
  <c r="AC43" i="10" a="1"/>
  <c r="AC43" i="10" s="1"/>
  <c r="BK45" i="10" a="1"/>
  <c r="BK45" i="10" s="1"/>
  <c r="BO45" i="10" a="1"/>
  <c r="BO45" i="10" s="1"/>
  <c r="T46" i="10" a="1"/>
  <c r="T46" i="10" s="1"/>
  <c r="AB45" i="10" a="1"/>
  <c r="AB45" i="10" s="1"/>
  <c r="AI44" i="10" a="1"/>
  <c r="AI44" i="10" s="1"/>
  <c r="AR46" i="10" a="1"/>
  <c r="AR46" i="10" s="1"/>
  <c r="AC44" i="10" a="1"/>
  <c r="AC44" i="10" s="1"/>
  <c r="AR45" i="10" a="1"/>
  <c r="AR45" i="10" s="1"/>
  <c r="BG44" i="10" a="1"/>
  <c r="BG44" i="10" s="1"/>
  <c r="AU45" i="10" a="1"/>
  <c r="AU45" i="10" s="1"/>
  <c r="AA46" i="10" a="1"/>
  <c r="AA46" i="10" s="1"/>
  <c r="AQ45" i="10" a="1"/>
  <c r="AQ45" i="10" s="1"/>
  <c r="BO42" i="10" a="1"/>
  <c r="BO42" i="10" s="1"/>
  <c r="BF44" i="10" a="1"/>
  <c r="BF44" i="10" s="1"/>
  <c r="O43" i="10" a="1"/>
  <c r="O43" i="10" s="1"/>
  <c r="P45" i="10" a="1"/>
  <c r="P45" i="10" s="1"/>
  <c r="AF43" i="10" a="1"/>
  <c r="AF43" i="10" s="1"/>
  <c r="BD42" i="10" a="1"/>
  <c r="BD42" i="10" s="1"/>
  <c r="AW44" i="10" a="1"/>
  <c r="AW44" i="10" s="1"/>
  <c r="BQ42" i="10" a="1"/>
  <c r="BQ42" i="10" s="1"/>
  <c r="AG44" i="10" a="1"/>
  <c r="AG44" i="10" s="1"/>
  <c r="AA42" i="10" a="1"/>
  <c r="AA42" i="10" s="1"/>
  <c r="BR44" i="10" a="1"/>
  <c r="BR44" i="10" s="1"/>
  <c r="AS44" i="10" a="1"/>
  <c r="AS44" i="10" s="1"/>
  <c r="AG45" i="10" a="1"/>
  <c r="AG45" i="10" s="1"/>
  <c r="AW46" i="10" a="1"/>
  <c r="AW46" i="10" s="1"/>
  <c r="BJ44" i="10" a="1"/>
  <c r="BJ44" i="10" s="1"/>
  <c r="AK44" i="10" a="1"/>
  <c r="AK44" i="10" s="1"/>
  <c r="BM44" i="10" a="1"/>
  <c r="BM44" i="10" s="1"/>
  <c r="BI42" i="10" a="1"/>
  <c r="BI42" i="10" s="1"/>
  <c r="AQ46" i="10" a="1"/>
  <c r="AQ46" i="10" s="1"/>
  <c r="BD46" i="10" a="1"/>
  <c r="BD46" i="10" s="1"/>
  <c r="X42" i="10" a="1"/>
  <c r="X42" i="10" s="1"/>
  <c r="BI46" i="10" a="1"/>
  <c r="BI46" i="10" s="1"/>
  <c r="Z44" i="10" a="1"/>
  <c r="Z44" i="10" s="1"/>
  <c r="S41" i="10"/>
  <c r="S25" i="6" s="1"/>
  <c r="P42" i="10" a="1"/>
  <c r="P42" i="10" s="1"/>
  <c r="BH45" i="10" a="1"/>
  <c r="BH45" i="10" s="1"/>
  <c r="AQ44" i="10" a="1"/>
  <c r="AQ44" i="10" s="1"/>
  <c r="AU44" i="10" a="1"/>
  <c r="AU44" i="10" s="1"/>
  <c r="R46" i="10" a="1"/>
  <c r="R46" i="10" s="1"/>
  <c r="AA45" i="10" a="1"/>
  <c r="AA45" i="10" s="1"/>
  <c r="AZ45" i="10" a="1"/>
  <c r="AZ45" i="10" s="1"/>
  <c r="AJ43" i="10" a="1"/>
  <c r="AJ43" i="10" s="1"/>
  <c r="AK42" i="10" a="1"/>
  <c r="AK42" i="10" s="1"/>
  <c r="BL43" i="10" a="1"/>
  <c r="BL43" i="10" s="1"/>
  <c r="AE43" i="10" a="1"/>
  <c r="AE43" i="10" s="1"/>
  <c r="BO43" i="10" a="1"/>
  <c r="BO43" i="10" s="1"/>
  <c r="BP45" i="10" a="1"/>
  <c r="BP45" i="10" s="1"/>
  <c r="AK45" i="10" a="1"/>
  <c r="AK45" i="10" s="1"/>
  <c r="BD43" i="10" a="1"/>
  <c r="BD43" i="10" s="1"/>
  <c r="AD45" i="10" a="1"/>
  <c r="AD45" i="10" s="1"/>
  <c r="AD44" i="10" a="1"/>
  <c r="AD44" i="10" s="1"/>
  <c r="AW43" i="10" a="1"/>
  <c r="AW43" i="10" s="1"/>
  <c r="S43" i="10" a="1"/>
  <c r="S43" i="10" s="1"/>
  <c r="O45" i="10" a="1"/>
  <c r="O45" i="10" s="1"/>
  <c r="BJ42" i="10" a="1"/>
  <c r="BJ42" i="10" s="1"/>
  <c r="AZ43" i="10" a="1"/>
  <c r="AZ43" i="10" s="1"/>
  <c r="L46" i="10" a="1"/>
  <c r="L46" i="10" s="1"/>
  <c r="V44" i="10" a="1"/>
  <c r="V44" i="10" s="1"/>
  <c r="AX43" i="10" a="1"/>
  <c r="AX43" i="10" s="1"/>
  <c r="BE42" i="10" a="1"/>
  <c r="BE42" i="10" s="1"/>
  <c r="BA43" i="10" a="1"/>
  <c r="BA43" i="10" s="1"/>
  <c r="V46" i="10" a="1"/>
  <c r="V46" i="10" s="1"/>
  <c r="AP43" i="10" a="1"/>
  <c r="AP43" i="10" s="1"/>
  <c r="AW42" i="10" a="1"/>
  <c r="AW42" i="10" s="1"/>
  <c r="AS43" i="10" a="1"/>
  <c r="AS43" i="10" s="1"/>
  <c r="V43" i="10" a="1"/>
  <c r="V43" i="10" s="1"/>
  <c r="N46" i="10" a="1"/>
  <c r="N46" i="10" s="1"/>
  <c r="Z45" i="10" a="1"/>
  <c r="Z45" i="10" s="1"/>
  <c r="BF45" i="10" a="1"/>
  <c r="BF45" i="10" s="1"/>
  <c r="AO45" i="10" a="1"/>
  <c r="AO45" i="10" s="1"/>
  <c r="BN46" i="10" a="1"/>
  <c r="BN46" i="10" s="1"/>
  <c r="AY41" i="10"/>
  <c r="AY25" i="6" s="1"/>
  <c r="T41" i="10"/>
  <c r="T25" i="6" s="1"/>
  <c r="BQ41" i="10"/>
  <c r="BQ25" i="6" s="1"/>
  <c r="AH41" i="10"/>
  <c r="AH25" i="6" s="1"/>
  <c r="AD41" i="10"/>
  <c r="AD25" i="6" s="1"/>
  <c r="BE41" i="10"/>
  <c r="BE25" i="6" s="1"/>
  <c r="AL41" i="10"/>
  <c r="AL25" i="6" s="1"/>
  <c r="Q41" i="10"/>
  <c r="Q25" i="6" s="1"/>
  <c r="X41" i="10"/>
  <c r="X25" i="6" s="1"/>
  <c r="AE41" i="10"/>
  <c r="AE25" i="6" s="1"/>
  <c r="BK41" i="10"/>
  <c r="BK25" i="6" s="1"/>
  <c r="AS41" i="10"/>
  <c r="AS25" i="6" s="1"/>
  <c r="BP46" i="10" a="1"/>
  <c r="BP46" i="10" s="1"/>
  <c r="BC43" i="10" a="1"/>
  <c r="BC43" i="10" s="1"/>
  <c r="BC42" i="10" a="1"/>
  <c r="BC42" i="10" s="1"/>
  <c r="BJ43" i="10" a="1"/>
  <c r="BJ43" i="10" s="1"/>
  <c r="BG45" i="10" a="1"/>
  <c r="BG45" i="10" s="1"/>
  <c r="S42" i="10" a="1"/>
  <c r="S42" i="10" s="1"/>
  <c r="BC46" i="10" a="1"/>
  <c r="BC46" i="10" s="1"/>
  <c r="X45" i="10" a="1"/>
  <c r="X45" i="10" s="1"/>
  <c r="R45" i="10" a="1"/>
  <c r="R45" i="10" s="1"/>
  <c r="AJ42" i="10" a="1"/>
  <c r="AJ42" i="10" s="1"/>
  <c r="AD42" i="10" a="1"/>
  <c r="AD42" i="10" s="1"/>
  <c r="AM42" i="10" a="1"/>
  <c r="AM42" i="10" s="1"/>
  <c r="AX45" i="10" a="1"/>
  <c r="AX45" i="10" s="1"/>
  <c r="N43" i="10" a="1"/>
  <c r="N43" i="10" s="1"/>
  <c r="P46" i="10" a="1"/>
  <c r="P46" i="10" s="1"/>
  <c r="BC45" i="10" a="1"/>
  <c r="BC45" i="10" s="1"/>
  <c r="AG43" i="10" a="1"/>
  <c r="AG43" i="10" s="1"/>
  <c r="AF46" i="10" a="1"/>
  <c r="AF46" i="10" s="1"/>
  <c r="M42" i="10" a="1"/>
  <c r="M42" i="10" s="1"/>
  <c r="AB46" i="10" a="1"/>
  <c r="AB46" i="10" s="1"/>
  <c r="AY42" i="10" a="1"/>
  <c r="AY42" i="10" s="1"/>
  <c r="X44" i="10" a="1"/>
  <c r="X44" i="10" s="1"/>
  <c r="P44" i="10" a="1"/>
  <c r="P44" i="10" s="1"/>
  <c r="Z43" i="10" a="1"/>
  <c r="Z43" i="10" s="1"/>
  <c r="N42" i="10" a="1"/>
  <c r="N42" i="10" s="1"/>
  <c r="AC45" i="10" a="1"/>
  <c r="AC45" i="10" s="1"/>
  <c r="M43" i="10" a="1"/>
  <c r="M43" i="10" s="1"/>
  <c r="T43" i="10" a="1"/>
  <c r="T43" i="10" s="1"/>
  <c r="BO46" i="10" a="1"/>
  <c r="BO46" i="10" s="1"/>
  <c r="U45" i="10" a="1"/>
  <c r="U45" i="10" s="1"/>
  <c r="BI44" i="10" a="1"/>
  <c r="BI44" i="10" s="1"/>
  <c r="AE44" i="10" a="1"/>
  <c r="AE44" i="10" s="1"/>
  <c r="AY43" i="10" a="1"/>
  <c r="AY43" i="10" s="1"/>
  <c r="BR43" i="10" a="1"/>
  <c r="BR43" i="10" s="1"/>
  <c r="BB43" i="10" a="1"/>
  <c r="BB43" i="10" s="1"/>
  <c r="AT45" i="10" a="1"/>
  <c r="AT45" i="10" s="1"/>
  <c r="Z41" i="10"/>
  <c r="Z25" i="6" s="1"/>
  <c r="AW41" i="10"/>
  <c r="AW25" i="6" s="1"/>
  <c r="BB46" i="10" a="1"/>
  <c r="BB46" i="10" s="1"/>
  <c r="AI45" i="10" a="1"/>
  <c r="AI45" i="10" s="1"/>
  <c r="AD43" i="10" a="1"/>
  <c r="AD43" i="10" s="1"/>
  <c r="BI43" i="10" a="1"/>
  <c r="BI43" i="10" s="1"/>
  <c r="AZ42" i="10" a="1"/>
  <c r="AZ42" i="10" s="1"/>
  <c r="BQ44" i="10" a="1"/>
  <c r="BQ44" i="10" s="1"/>
  <c r="AU46" i="10" a="1"/>
  <c r="AU46" i="10" s="1"/>
  <c r="AQ43" i="10" a="1"/>
  <c r="AQ43" i="10" s="1"/>
  <c r="BN42" i="10" a="1"/>
  <c r="BN42" i="10" s="1"/>
  <c r="AV46" i="10" a="1"/>
  <c r="AV46" i="10" s="1"/>
  <c r="AE46" i="10" a="1"/>
  <c r="AE46" i="10" s="1"/>
  <c r="P43" i="10" a="1"/>
  <c r="P43" i="10" s="1"/>
  <c r="AP45" i="10" a="1"/>
  <c r="AP45" i="10" s="1"/>
  <c r="BQ46" i="10" a="1"/>
  <c r="BQ46" i="10" s="1"/>
  <c r="Z42" i="10" a="1"/>
  <c r="Z42" i="10" s="1"/>
  <c r="W43" i="10" a="1"/>
  <c r="W43" i="10" s="1"/>
  <c r="R44" i="10" a="1"/>
  <c r="R44" i="10" s="1"/>
  <c r="AL45" i="10" a="1"/>
  <c r="AL45" i="10" s="1"/>
  <c r="AY44" i="10" a="1"/>
  <c r="AY44" i="10" s="1"/>
  <c r="AN45" i="10" a="1"/>
  <c r="AN45" i="10" s="1"/>
  <c r="Q45" i="10" a="1"/>
  <c r="Q45" i="10" s="1"/>
  <c r="BF43" i="10" a="1"/>
  <c r="BF43" i="10" s="1"/>
  <c r="AD46" i="10" a="1"/>
  <c r="AD46" i="10" s="1"/>
  <c r="Y46" i="10" a="1"/>
  <c r="Y46" i="10" s="1"/>
  <c r="AG46" i="10" a="1"/>
  <c r="AG46" i="10" s="1"/>
  <c r="BD45" i="10" a="1"/>
  <c r="BD45" i="10" s="1"/>
  <c r="T42" i="10" a="1"/>
  <c r="T42" i="10" s="1"/>
  <c r="BF46" i="10" a="1"/>
  <c r="BF46" i="10" s="1"/>
  <c r="BN45" i="10" a="1"/>
  <c r="BN45" i="10" s="1"/>
  <c r="AV45" i="10" a="1"/>
  <c r="AV45" i="10" s="1"/>
  <c r="L42" i="10" a="1"/>
  <c r="L42" i="10" s="1"/>
  <c r="BC44" i="10" a="1"/>
  <c r="BC44" i="10" s="1"/>
  <c r="AI43" i="10" a="1"/>
  <c r="AI43" i="10" s="1"/>
  <c r="Q42" i="10" a="1"/>
  <c r="Q42" i="10" s="1"/>
  <c r="AX42" i="10" a="1"/>
  <c r="AX42" i="10" s="1"/>
  <c r="AF42" i="10" a="1"/>
  <c r="AF42" i="10" s="1"/>
  <c r="BN43" i="10" a="1"/>
  <c r="BN43" i="10" s="1"/>
  <c r="BM41" i="10"/>
  <c r="BM25" i="6" s="1"/>
  <c r="X43" i="10" a="1"/>
  <c r="X43" i="10" s="1"/>
  <c r="BN44" i="10" a="1"/>
  <c r="BN44" i="10" s="1"/>
  <c r="AZ46" i="10" a="1"/>
  <c r="AZ46" i="10" s="1"/>
  <c r="AH45" i="10" a="1"/>
  <c r="AH45" i="10" s="1"/>
  <c r="AH42" i="10" a="1"/>
  <c r="AH42" i="10" s="1"/>
  <c r="AF44" i="10" a="1"/>
  <c r="AF44" i="10" s="1"/>
  <c r="AM43" i="10" a="1"/>
  <c r="AM43" i="10" s="1"/>
  <c r="BR46" i="10" a="1"/>
  <c r="BR46" i="10" s="1"/>
  <c r="AY46" i="10" a="1"/>
  <c r="AY46" i="10" s="1"/>
  <c r="BH44" i="10" a="1"/>
  <c r="BH44" i="10" s="1"/>
  <c r="AR44" i="10" a="1"/>
  <c r="AR44" i="10" s="1"/>
  <c r="AJ46" i="10" a="1"/>
  <c r="AJ46" i="10" s="1"/>
  <c r="AT43" i="10" a="1"/>
  <c r="AT43" i="10" s="1"/>
  <c r="BJ46" i="10" a="1"/>
  <c r="BJ46" i="10" s="1"/>
  <c r="AR42" i="10" a="1"/>
  <c r="AR42" i="10" s="1"/>
  <c r="BL44" i="10" a="1"/>
  <c r="BL44" i="10" s="1"/>
  <c r="M46" i="10" a="1"/>
  <c r="M46" i="10" s="1"/>
  <c r="BE43" i="10" a="1"/>
  <c r="BE43" i="10" s="1"/>
  <c r="BL42" i="10" a="1"/>
  <c r="BL42" i="10" s="1"/>
  <c r="BG43" i="10" a="1"/>
  <c r="BG43" i="10" s="1"/>
  <c r="BH42" i="10" a="1"/>
  <c r="BH42" i="10" s="1"/>
  <c r="X46" i="10" a="1"/>
  <c r="X46" i="10" s="1"/>
  <c r="AY45" i="10" a="1"/>
  <c r="AY45" i="10" s="1"/>
  <c r="AE45" i="10" a="1"/>
  <c r="AE45" i="10" s="1"/>
  <c r="AT44" i="10" a="1"/>
  <c r="AT44" i="10" s="1"/>
  <c r="BP43" i="10" a="1"/>
  <c r="BP43" i="10" s="1"/>
  <c r="BJ45" i="10" a="1"/>
  <c r="BJ45" i="10" s="1"/>
  <c r="Q46" i="10" a="1"/>
  <c r="Q46" i="10" s="1"/>
  <c r="AL44" i="10" a="1"/>
  <c r="AL44" i="10" s="1"/>
  <c r="BH43" i="10" a="1"/>
  <c r="BH43" i="10" s="1"/>
  <c r="BB45" i="10" a="1"/>
  <c r="BB45" i="10" s="1"/>
  <c r="U46" i="10" a="1"/>
  <c r="U46" i="10" s="1"/>
  <c r="BK46" i="10" a="1"/>
  <c r="BK46" i="10" s="1"/>
  <c r="AB43" i="10" a="1"/>
  <c r="AB43" i="10" s="1"/>
  <c r="O42" i="10" a="1"/>
  <c r="O42" i="10" s="1"/>
  <c r="L44" i="10" a="1"/>
  <c r="L44" i="10" s="1"/>
  <c r="AV41" i="10"/>
  <c r="AV25" i="6" s="1"/>
  <c r="AO41" i="10"/>
  <c r="AO25" i="6" s="1"/>
  <c r="AC41" i="10"/>
  <c r="AC25" i="6" s="1"/>
  <c r="BC41" i="10"/>
  <c r="BC25" i="6" s="1"/>
  <c r="H36" i="10"/>
  <c r="BR41" i="10"/>
  <c r="BR25" i="6" s="1"/>
  <c r="R41" i="10"/>
  <c r="R25" i="6" s="1"/>
  <c r="U41" i="10"/>
  <c r="U25" i="6" s="1"/>
  <c r="AN41" i="10"/>
  <c r="AN25" i="6" s="1"/>
  <c r="BJ41" i="10"/>
  <c r="BJ25" i="6" s="1"/>
  <c r="AX41" i="10"/>
  <c r="AX25" i="6" s="1"/>
  <c r="N41" i="10"/>
  <c r="N25" i="6" s="1"/>
  <c r="G35" i="10"/>
  <c r="AP41" i="10"/>
  <c r="AP25" i="6" s="1"/>
  <c r="AU41" i="10"/>
  <c r="AU25" i="6" s="1"/>
  <c r="H35" i="10"/>
  <c r="BF41" i="10"/>
  <c r="BF25" i="6" s="1"/>
  <c r="F39" i="10"/>
  <c r="E39" i="10"/>
  <c r="H39" i="10"/>
  <c r="G36" i="10"/>
  <c r="F37" i="10"/>
  <c r="F35" i="10"/>
  <c r="P41" i="10"/>
  <c r="P25" i="6" s="1"/>
  <c r="G37" i="10"/>
  <c r="I37" i="10"/>
  <c r="H38" i="10"/>
  <c r="E38" i="10"/>
  <c r="H37" i="10"/>
  <c r="G39" i="10"/>
  <c r="I38" i="10"/>
  <c r="AA41" i="10"/>
  <c r="AA25" i="6" s="1"/>
  <c r="G38" i="10"/>
  <c r="Y41" i="10"/>
  <c r="Y25" i="6" s="1"/>
  <c r="E35" i="10"/>
  <c r="E36" i="10"/>
  <c r="I36" i="10"/>
  <c r="I35" i="10"/>
  <c r="E37" i="10"/>
  <c r="I39" i="10"/>
  <c r="F36" i="10"/>
  <c r="O41" i="10"/>
  <c r="O25" i="6" s="1"/>
  <c r="F38" i="10"/>
  <c r="BN41" i="10"/>
  <c r="BN25" i="6" s="1"/>
  <c r="I19" i="10"/>
  <c r="E19" i="10"/>
  <c r="F19" i="10"/>
  <c r="G19" i="10"/>
  <c r="H19" i="10"/>
  <c r="K43" i="10" a="1"/>
  <c r="K43" i="10" s="1"/>
  <c r="K46" i="10" a="1"/>
  <c r="K46" i="10" s="1"/>
  <c r="K45" i="10" a="1"/>
  <c r="K45" i="10" s="1"/>
  <c r="K44" i="10" a="1"/>
  <c r="K44" i="10" s="1"/>
  <c r="K42" i="10" a="1"/>
  <c r="K42" i="10" s="1"/>
  <c r="O25" i="5"/>
  <c r="N5" i="4"/>
  <c r="M29" i="6"/>
  <c r="N22" i="5"/>
  <c r="M20" i="6"/>
  <c r="M27" i="6"/>
  <c r="D20" i="8"/>
  <c r="F22" i="4"/>
  <c r="N32" i="6"/>
  <c r="AQ341" i="3" l="1"/>
  <c r="AQ343" i="3" s="1"/>
  <c r="AR340" i="3" s="1"/>
  <c r="AR342" i="3" s="1" a="1"/>
  <c r="AR342" i="3" s="1"/>
  <c r="N78" i="3"/>
  <c r="N86" i="3" s="1"/>
  <c r="BF476" i="3"/>
  <c r="BF478" i="3" s="1"/>
  <c r="BG475" i="3" s="1"/>
  <c r="N81" i="3" a="1"/>
  <c r="N81" i="3" s="1"/>
  <c r="N82" i="3" s="1"/>
  <c r="O79" i="3" s="1"/>
  <c r="O81" i="3" s="1" a="1"/>
  <c r="O81" i="3" s="1"/>
  <c r="X171" i="3" a="1"/>
  <c r="X171" i="3" s="1"/>
  <c r="X172" i="3" s="1"/>
  <c r="Y169" i="3" s="1"/>
  <c r="Y171" i="3" s="1" a="1"/>
  <c r="Y171" i="3" s="1"/>
  <c r="K55" i="3"/>
  <c r="L52" i="3" s="1"/>
  <c r="L51" i="3" s="1"/>
  <c r="X168" i="3"/>
  <c r="X176" i="3" s="1"/>
  <c r="AQ339" i="3"/>
  <c r="AQ347" i="3" s="1"/>
  <c r="BH495" i="3" a="1"/>
  <c r="BH495" i="3" s="1"/>
  <c r="BH496" i="3" s="1"/>
  <c r="BI493" i="3" s="1"/>
  <c r="BI494" i="3" s="1"/>
  <c r="BE467" i="3"/>
  <c r="AH260" i="3"/>
  <c r="AH261" i="3" a="1"/>
  <c r="AH261" i="3" s="1"/>
  <c r="BE468" i="3" a="1"/>
  <c r="BE468" i="3" s="1"/>
  <c r="Z189" i="3" a="1"/>
  <c r="Z189" i="3" s="1"/>
  <c r="Z188" i="3"/>
  <c r="AU379" i="3"/>
  <c r="AV376" i="3" s="1"/>
  <c r="AV375" i="3" s="1"/>
  <c r="AX402" i="3"/>
  <c r="AX410" i="3" s="1"/>
  <c r="V152" i="3"/>
  <c r="V154" i="3" s="1"/>
  <c r="W151" i="3" s="1"/>
  <c r="W152" i="3" s="1"/>
  <c r="V150" i="3"/>
  <c r="V158" i="3" s="1"/>
  <c r="AX404" i="3"/>
  <c r="AX406" i="3" s="1"/>
  <c r="AY403" i="3" s="1"/>
  <c r="AY404" i="3" s="1"/>
  <c r="AY413" i="3"/>
  <c r="AY415" i="3" s="1"/>
  <c r="AZ412" i="3" s="1"/>
  <c r="AZ420" i="3"/>
  <c r="AZ428" i="3" s="1"/>
  <c r="AW397" i="3"/>
  <c r="AX394" i="3" s="1"/>
  <c r="AX393" i="3" s="1"/>
  <c r="AY411" i="3"/>
  <c r="AY419" i="3" s="1"/>
  <c r="AZ423" i="3" a="1"/>
  <c r="AZ423" i="3" s="1"/>
  <c r="AZ424" i="3" s="1"/>
  <c r="BA421" i="3" s="1"/>
  <c r="BF474" i="3"/>
  <c r="BF482" i="3" s="1"/>
  <c r="E5" i="3"/>
  <c r="E12" i="3"/>
  <c r="E2" i="3" s="1"/>
  <c r="O28" i="5"/>
  <c r="N17" i="7"/>
  <c r="M69" i="3"/>
  <c r="M77" i="3" s="1"/>
  <c r="M72" i="3" a="1"/>
  <c r="M72" i="3" s="1"/>
  <c r="M73" i="3" s="1"/>
  <c r="N70" i="3" s="1"/>
  <c r="AM305" i="3"/>
  <c r="AT368" i="3"/>
  <c r="AT370" i="3" s="1"/>
  <c r="AU367" i="3" s="1"/>
  <c r="O19" i="2"/>
  <c r="R6" i="2"/>
  <c r="R13" i="2" s="1"/>
  <c r="N13" i="6"/>
  <c r="N17" i="4"/>
  <c r="N28" i="6" s="1"/>
  <c r="N6" i="4"/>
  <c r="AG251" i="3"/>
  <c r="L62" i="3"/>
  <c r="L64" i="3" s="1"/>
  <c r="M61" i="3" s="1"/>
  <c r="L60" i="3"/>
  <c r="L68" i="3" s="1"/>
  <c r="W162" i="3" a="1"/>
  <c r="W162" i="3" s="1"/>
  <c r="W163" i="3" s="1"/>
  <c r="X160" i="3" s="1"/>
  <c r="W159" i="3"/>
  <c r="W167" i="3" s="1"/>
  <c r="AD224" i="3"/>
  <c r="AD225" i="3" a="1"/>
  <c r="AD225" i="3" s="1"/>
  <c r="AF242" i="3"/>
  <c r="AF244" i="3" s="1"/>
  <c r="AG241" i="3" s="1"/>
  <c r="AG243" i="3" s="1" a="1"/>
  <c r="AG243" i="3" s="1"/>
  <c r="AV384" i="3"/>
  <c r="AV392" i="3" s="1"/>
  <c r="S123" i="3"/>
  <c r="S131" i="3" s="1"/>
  <c r="AF240" i="3"/>
  <c r="AF248" i="3" s="1"/>
  <c r="AX12" i="7"/>
  <c r="AX13" i="7" s="1"/>
  <c r="AL12" i="7"/>
  <c r="AL13" i="7" s="1"/>
  <c r="Y12" i="7"/>
  <c r="BJ12" i="7"/>
  <c r="BJ13" i="7" s="1"/>
  <c r="AO12" i="7"/>
  <c r="AO13" i="7" s="1"/>
  <c r="BE12" i="7"/>
  <c r="BE13" i="7" s="1"/>
  <c r="AI12" i="7"/>
  <c r="AJ12" i="7"/>
  <c r="AJ13" i="7" s="1"/>
  <c r="AC12" i="7"/>
  <c r="AC13" i="7" s="1"/>
  <c r="O12" i="7"/>
  <c r="O13" i="7" s="1"/>
  <c r="BF12" i="7"/>
  <c r="BF13" i="7" s="1"/>
  <c r="AN12" i="7"/>
  <c r="AN13" i="7" s="1"/>
  <c r="AV12" i="7"/>
  <c r="AV13" i="7" s="1"/>
  <c r="AD12" i="7"/>
  <c r="AD13" i="7" s="1"/>
  <c r="AB12" i="7"/>
  <c r="AB13" i="7" s="1"/>
  <c r="AG12" i="7"/>
  <c r="AG13" i="7" s="1"/>
  <c r="AR12" i="7"/>
  <c r="AR13" i="7" s="1"/>
  <c r="AV386" i="3"/>
  <c r="AV388" i="3" s="1"/>
  <c r="AW385" i="3" s="1"/>
  <c r="AW386" i="3" s="1"/>
  <c r="AA195" i="3"/>
  <c r="AA203" i="3" s="1"/>
  <c r="AS12" i="7"/>
  <c r="AS13" i="7" s="1"/>
  <c r="AH12" i="7"/>
  <c r="AH13" i="7" s="1"/>
  <c r="BI12" i="7"/>
  <c r="BI13" i="7" s="1"/>
  <c r="BH12" i="7"/>
  <c r="BH13" i="7" s="1"/>
  <c r="AU12" i="7"/>
  <c r="AU13" i="7" s="1"/>
  <c r="R12" i="7"/>
  <c r="R13" i="7" s="1"/>
  <c r="BK12" i="7"/>
  <c r="BK13" i="7" s="1"/>
  <c r="BQ12" i="7"/>
  <c r="BQ13" i="7" s="1"/>
  <c r="S12" i="7"/>
  <c r="S13" i="7" s="1"/>
  <c r="BL12" i="7"/>
  <c r="BL13" i="7" s="1"/>
  <c r="BB12" i="7"/>
  <c r="BB13" i="7" s="1"/>
  <c r="BP12" i="7"/>
  <c r="BP13" i="7" s="1"/>
  <c r="BA12" i="7"/>
  <c r="BA13" i="7" s="1"/>
  <c r="AP12" i="7"/>
  <c r="AP13" i="7" s="1"/>
  <c r="BR12" i="7"/>
  <c r="BR13" i="7" s="1"/>
  <c r="AW12" i="7"/>
  <c r="AW13" i="7" s="1"/>
  <c r="AE12" i="7"/>
  <c r="AE13" i="7" s="1"/>
  <c r="T12" i="7"/>
  <c r="T13" i="7" s="1"/>
  <c r="AK12" i="7"/>
  <c r="AK13" i="7" s="1"/>
  <c r="AM12" i="7"/>
  <c r="AM13" i="7" s="1"/>
  <c r="S125" i="3"/>
  <c r="S127" i="3" s="1"/>
  <c r="T124" i="3" s="1"/>
  <c r="AA12" i="7"/>
  <c r="AA13" i="7" s="1"/>
  <c r="P12" i="7"/>
  <c r="P13" i="7" s="1"/>
  <c r="U12" i="7"/>
  <c r="U13" i="7" s="1"/>
  <c r="Z12" i="7"/>
  <c r="Z13" i="7" s="1"/>
  <c r="X12" i="7"/>
  <c r="X13" i="7" s="1"/>
  <c r="AY12" i="7"/>
  <c r="AY13" i="7" s="1"/>
  <c r="AZ12" i="7"/>
  <c r="AZ13" i="7" s="1"/>
  <c r="BO12" i="7"/>
  <c r="BO13" i="7" s="1"/>
  <c r="AT12" i="7"/>
  <c r="AT13" i="7" s="1"/>
  <c r="BN12" i="7"/>
  <c r="BN13" i="7" s="1"/>
  <c r="N12" i="7"/>
  <c r="N13" i="7" s="1"/>
  <c r="BC12" i="7"/>
  <c r="BC13" i="7" s="1"/>
  <c r="BM12" i="7"/>
  <c r="BM13" i="7" s="1"/>
  <c r="Q12" i="7"/>
  <c r="Q13" i="7" s="1"/>
  <c r="V12" i="7"/>
  <c r="V13" i="7" s="1"/>
  <c r="BD12" i="7"/>
  <c r="BD13" i="7" s="1"/>
  <c r="AF12" i="7"/>
  <c r="AF13" i="7" s="1"/>
  <c r="AQ12" i="7"/>
  <c r="AQ13" i="7" s="1"/>
  <c r="G40" i="3"/>
  <c r="H38" i="3"/>
  <c r="H39" i="3" s="1"/>
  <c r="G18" i="3" a="1"/>
  <c r="G18" i="3" s="1"/>
  <c r="G19" i="3" s="1"/>
  <c r="H16" i="3" s="1"/>
  <c r="AA197" i="3"/>
  <c r="AA199" i="3" s="1"/>
  <c r="AB196" i="3" s="1"/>
  <c r="BA432" i="3" a="1"/>
  <c r="BA432" i="3" s="1"/>
  <c r="BA433" i="3" s="1"/>
  <c r="BB430" i="3" s="1"/>
  <c r="G15" i="3"/>
  <c r="G23" i="3" s="1"/>
  <c r="BA429" i="3"/>
  <c r="BA437" i="3" s="1"/>
  <c r="AI270" i="3" a="1"/>
  <c r="AI270" i="3" s="1"/>
  <c r="Q105" i="3"/>
  <c r="Q113" i="3" s="1"/>
  <c r="AK287" i="3"/>
  <c r="AK288" i="3" a="1"/>
  <c r="AK288" i="3" s="1"/>
  <c r="AG252" i="3" a="1"/>
  <c r="AG252" i="3" s="1"/>
  <c r="AM306" i="3" a="1"/>
  <c r="AM306" i="3" s="1"/>
  <c r="AT366" i="3"/>
  <c r="AT374" i="3" s="1"/>
  <c r="G31" i="3"/>
  <c r="AI269" i="3"/>
  <c r="G39" i="3"/>
  <c r="O90" i="3" a="1"/>
  <c r="O90" i="3" s="1"/>
  <c r="Q107" i="3"/>
  <c r="Q109" i="3" s="1"/>
  <c r="R106" i="3" s="1"/>
  <c r="O89" i="3"/>
  <c r="I35" i="3"/>
  <c r="I37" i="3" s="1"/>
  <c r="J34" i="3" s="1"/>
  <c r="I33" i="3"/>
  <c r="I41" i="3" s="1"/>
  <c r="G30" i="3"/>
  <c r="V141" i="3"/>
  <c r="Y181" i="3"/>
  <c r="Z178" i="3" s="1"/>
  <c r="Z177" i="3" s="1"/>
  <c r="V143" i="3"/>
  <c r="V145" i="3" s="1"/>
  <c r="W142" i="3" s="1"/>
  <c r="W144" i="3" s="1" a="1"/>
  <c r="W144" i="3" s="1"/>
  <c r="AR350" i="3"/>
  <c r="AR351" i="3" a="1"/>
  <c r="AR351" i="3" s="1"/>
  <c r="AR348" i="3"/>
  <c r="AR356" i="3" s="1"/>
  <c r="F21" i="3"/>
  <c r="F22" i="3"/>
  <c r="J42" i="3"/>
  <c r="J50" i="3" s="1"/>
  <c r="J45" i="3" a="1"/>
  <c r="J45" i="3" s="1"/>
  <c r="J44" i="3"/>
  <c r="H26" i="3"/>
  <c r="H27" i="3" a="1"/>
  <c r="H27" i="3" s="1"/>
  <c r="H24" i="3"/>
  <c r="H32" i="3" s="1"/>
  <c r="AO321" i="3"/>
  <c r="AO329" i="3" s="1"/>
  <c r="AO323" i="3"/>
  <c r="AO324" i="3" a="1"/>
  <c r="AO324" i="3" s="1"/>
  <c r="AP330" i="3"/>
  <c r="AP338" i="3" s="1"/>
  <c r="AP332" i="3"/>
  <c r="AP333" i="3" a="1"/>
  <c r="AP333" i="3" s="1"/>
  <c r="BK522" i="3" a="1"/>
  <c r="BK522" i="3" s="1"/>
  <c r="BK521" i="3"/>
  <c r="BK519" i="3"/>
  <c r="BK527" i="3" s="1"/>
  <c r="L25" i="6"/>
  <c r="AE231" i="3"/>
  <c r="AE239" i="3" s="1"/>
  <c r="AE234" i="3" a="1"/>
  <c r="AE234" i="3" s="1"/>
  <c r="AE233" i="3"/>
  <c r="P98" i="3"/>
  <c r="P99" i="3" a="1"/>
  <c r="P99" i="3" s="1"/>
  <c r="P96" i="3"/>
  <c r="P104" i="3" s="1"/>
  <c r="BG483" i="3"/>
  <c r="BG491" i="3" s="1"/>
  <c r="BG486" i="3" a="1"/>
  <c r="BG486" i="3" s="1"/>
  <c r="BG485" i="3"/>
  <c r="BI503" i="3"/>
  <c r="BI501" i="3"/>
  <c r="BI509" i="3" s="1"/>
  <c r="BI504" i="3" a="1"/>
  <c r="BI504" i="3" s="1"/>
  <c r="AB208" i="3"/>
  <c r="AC205" i="3" s="1"/>
  <c r="BB440" i="3"/>
  <c r="BB441" i="3" a="1"/>
  <c r="BB441" i="3" s="1"/>
  <c r="BB438" i="3"/>
  <c r="BB446" i="3" s="1"/>
  <c r="AS359" i="3"/>
  <c r="AS360" i="3" a="1"/>
  <c r="AS360" i="3" s="1"/>
  <c r="AS357" i="3"/>
  <c r="AS365" i="3" s="1"/>
  <c r="BC449" i="3"/>
  <c r="BC450" i="3" a="1"/>
  <c r="BC450" i="3" s="1"/>
  <c r="BC447" i="3"/>
  <c r="BC455" i="3" s="1"/>
  <c r="R114" i="3"/>
  <c r="R122" i="3" s="1"/>
  <c r="R116" i="3"/>
  <c r="R117" i="3" a="1"/>
  <c r="R117" i="3" s="1"/>
  <c r="AL297" i="3" a="1"/>
  <c r="AL297" i="3" s="1"/>
  <c r="AL294" i="3"/>
  <c r="AL302" i="3" s="1"/>
  <c r="AL296" i="3"/>
  <c r="AN312" i="3"/>
  <c r="AN320" i="3" s="1"/>
  <c r="AN314" i="3"/>
  <c r="AN315" i="3" a="1"/>
  <c r="AN315" i="3" s="1"/>
  <c r="BD456" i="3"/>
  <c r="BD464" i="3" s="1"/>
  <c r="BD459" i="3" a="1"/>
  <c r="BD459" i="3" s="1"/>
  <c r="BD458" i="3"/>
  <c r="AC215" i="3"/>
  <c r="AC213" i="3"/>
  <c r="AC221" i="3" s="1"/>
  <c r="AC216" i="3" a="1"/>
  <c r="AC216" i="3" s="1"/>
  <c r="BJ513" i="3" a="1"/>
  <c r="BJ513" i="3" s="1"/>
  <c r="BJ510" i="3"/>
  <c r="BJ518" i="3" s="1"/>
  <c r="BJ512" i="3"/>
  <c r="T132" i="3"/>
  <c r="T140" i="3" s="1"/>
  <c r="T134" i="3"/>
  <c r="T135" i="3" a="1"/>
  <c r="T135" i="3" s="1"/>
  <c r="AJ276" i="3"/>
  <c r="AJ284" i="3" s="1"/>
  <c r="AJ278" i="3"/>
  <c r="AJ279" i="3" a="1"/>
  <c r="AJ279" i="3" s="1"/>
  <c r="H47" i="3" a="1"/>
  <c r="H47" i="3" s="1"/>
  <c r="I47" i="3" s="1"/>
  <c r="E14" i="3"/>
  <c r="E10" i="3"/>
  <c r="O18" i="4"/>
  <c r="O29" i="6" s="1"/>
  <c r="O16" i="4"/>
  <c r="AA7" i="2"/>
  <c r="N9" i="2"/>
  <c r="P5" i="2"/>
  <c r="H25" i="6"/>
  <c r="N16" i="8" s="1"/>
  <c r="K25" i="6"/>
  <c r="K12" i="7" s="1"/>
  <c r="F25" i="6"/>
  <c r="F16" i="8" s="1"/>
  <c r="G25" i="6"/>
  <c r="J16" i="8" s="1"/>
  <c r="P29" i="5"/>
  <c r="O18" i="7"/>
  <c r="O28" i="4"/>
  <c r="O35" i="6" s="1"/>
  <c r="O16" i="7"/>
  <c r="N27" i="4"/>
  <c r="N15" i="7"/>
  <c r="G23" i="4"/>
  <c r="F23" i="4"/>
  <c r="H23" i="4"/>
  <c r="E23" i="4"/>
  <c r="I23" i="4"/>
  <c r="M6" i="7"/>
  <c r="E6" i="7" s="1"/>
  <c r="AY6" i="7"/>
  <c r="H6" i="7" s="1"/>
  <c r="AJ6" i="7"/>
  <c r="G6" i="7" s="1"/>
  <c r="AE6" i="7"/>
  <c r="F6" i="7" s="1"/>
  <c r="BH6" i="7"/>
  <c r="I6" i="7" s="1"/>
  <c r="M31" i="6"/>
  <c r="O8" i="2"/>
  <c r="BA47" i="10" a="1"/>
  <c r="BA47" i="10" s="1"/>
  <c r="BA48" i="10" s="1"/>
  <c r="AS47" i="10" a="1"/>
  <c r="AS47" i="10" s="1"/>
  <c r="AS48" i="10" s="1"/>
  <c r="AI47" i="10" a="1"/>
  <c r="AI47" i="10" s="1"/>
  <c r="AI48" i="10" s="1"/>
  <c r="AV47" i="10" a="1"/>
  <c r="AV47" i="10" s="1"/>
  <c r="AV48" i="10" s="1"/>
  <c r="AN47" i="10" a="1"/>
  <c r="AN47" i="10" s="1"/>
  <c r="AN48" i="10" s="1"/>
  <c r="U47" i="10" a="1"/>
  <c r="U47" i="10" s="1"/>
  <c r="U48" i="10" s="1"/>
  <c r="BM47" i="10" a="1"/>
  <c r="BM47" i="10" s="1"/>
  <c r="BM48" i="10" s="1"/>
  <c r="AA47" i="10" a="1"/>
  <c r="AA47" i="10" s="1"/>
  <c r="AA48" i="10" s="1"/>
  <c r="AL47" i="10" a="1"/>
  <c r="AL47" i="10" s="1"/>
  <c r="AL48" i="10" s="1"/>
  <c r="AP47" i="10" a="1"/>
  <c r="AP47" i="10" s="1"/>
  <c r="AP48" i="10" s="1"/>
  <c r="N47" i="10" a="1"/>
  <c r="N47" i="10" s="1"/>
  <c r="N48" i="10" s="1"/>
  <c r="Y47" i="10" a="1"/>
  <c r="Y47" i="10" s="1"/>
  <c r="Y48" i="10" s="1"/>
  <c r="BO47" i="10" a="1"/>
  <c r="BO47" i="10" s="1"/>
  <c r="BO48" i="10" s="1"/>
  <c r="AO47" i="10" a="1"/>
  <c r="AO47" i="10" s="1"/>
  <c r="AO48" i="10" s="1"/>
  <c r="G43" i="10"/>
  <c r="AR47" i="10" a="1"/>
  <c r="AR47" i="10" s="1"/>
  <c r="AR48" i="10" s="1"/>
  <c r="E43" i="10"/>
  <c r="L47" i="10" a="1"/>
  <c r="L47" i="10" s="1"/>
  <c r="L48" i="10" s="1"/>
  <c r="AF47" i="10" a="1"/>
  <c r="AF47" i="10" s="1"/>
  <c r="AF48" i="10" s="1"/>
  <c r="BF47" i="10" a="1"/>
  <c r="BF47" i="10" s="1"/>
  <c r="BF48" i="10" s="1"/>
  <c r="BF18" i="5" s="1"/>
  <c r="H18" i="5" s="1"/>
  <c r="BH47" i="10" a="1"/>
  <c r="BH47" i="10" s="1"/>
  <c r="BH48" i="10" s="1"/>
  <c r="AT47" i="10" a="1"/>
  <c r="AT47" i="10" s="1"/>
  <c r="AT48" i="10" s="1"/>
  <c r="AT18" i="5" s="1"/>
  <c r="G18" i="5" s="1"/>
  <c r="AH47" i="10" a="1"/>
  <c r="AH47" i="10" s="1"/>
  <c r="AH48" i="10" s="1"/>
  <c r="AH18" i="5" s="1"/>
  <c r="F18" i="5" s="1"/>
  <c r="I44" i="10"/>
  <c r="G46" i="10"/>
  <c r="H42" i="10"/>
  <c r="BP47" i="10" a="1"/>
  <c r="BP47" i="10" s="1"/>
  <c r="BP48" i="10" s="1"/>
  <c r="BR47" i="10" a="1"/>
  <c r="BR47" i="10" s="1"/>
  <c r="BR48" i="10" s="1"/>
  <c r="BR18" i="5" s="1"/>
  <c r="I18" i="5" s="1"/>
  <c r="V47" i="10" a="1"/>
  <c r="V47" i="10" s="1"/>
  <c r="V48" i="10" s="1"/>
  <c r="V18" i="5" s="1"/>
  <c r="E18" i="5" s="1"/>
  <c r="F45" i="10"/>
  <c r="AJ47" i="10" a="1"/>
  <c r="AJ47" i="10" s="1"/>
  <c r="AJ48" i="10" s="1"/>
  <c r="S47" i="10" a="1"/>
  <c r="S47" i="10" s="1"/>
  <c r="S48" i="10" s="1"/>
  <c r="F44" i="10"/>
  <c r="BN47" i="10" a="1"/>
  <c r="BN47" i="10" s="1"/>
  <c r="BN48" i="10" s="1"/>
  <c r="BG47" i="10" a="1"/>
  <c r="BG47" i="10" s="1"/>
  <c r="BG48" i="10" s="1"/>
  <c r="Z47" i="10" a="1"/>
  <c r="Z47" i="10" s="1"/>
  <c r="Z48" i="10" s="1"/>
  <c r="R47" i="10" a="1"/>
  <c r="R47" i="10" s="1"/>
  <c r="R48" i="10" s="1"/>
  <c r="AE47" i="10" a="1"/>
  <c r="AE47" i="10" s="1"/>
  <c r="AE48" i="10" s="1"/>
  <c r="H43" i="10"/>
  <c r="O47" i="10" a="1"/>
  <c r="O47" i="10" s="1"/>
  <c r="O48" i="10" s="1"/>
  <c r="I45" i="10"/>
  <c r="BL47" i="10" a="1"/>
  <c r="BL47" i="10" s="1"/>
  <c r="BL48" i="10" s="1"/>
  <c r="AZ47" i="10" a="1"/>
  <c r="AZ47" i="10" s="1"/>
  <c r="AZ48" i="10" s="1"/>
  <c r="BE47" i="10" a="1"/>
  <c r="BE47" i="10" s="1"/>
  <c r="BE48" i="10" s="1"/>
  <c r="AC47" i="10" a="1"/>
  <c r="AC47" i="10" s="1"/>
  <c r="AC48" i="10" s="1"/>
  <c r="AB47" i="10" a="1"/>
  <c r="AB47" i="10" s="1"/>
  <c r="AB48" i="10" s="1"/>
  <c r="AX47" i="10" a="1"/>
  <c r="AX47" i="10" s="1"/>
  <c r="AX48" i="10" s="1"/>
  <c r="T47" i="10" a="1"/>
  <c r="T47" i="10" s="1"/>
  <c r="T48" i="10" s="1"/>
  <c r="H44" i="10"/>
  <c r="AK47" i="10" a="1"/>
  <c r="AK47" i="10" s="1"/>
  <c r="AK48" i="10" s="1"/>
  <c r="P47" i="10" a="1"/>
  <c r="P47" i="10" s="1"/>
  <c r="P48" i="10" s="1"/>
  <c r="BI47" i="10" a="1"/>
  <c r="BI47" i="10" s="1"/>
  <c r="BI48" i="10" s="1"/>
  <c r="E44" i="10"/>
  <c r="BK47" i="10" a="1"/>
  <c r="BK47" i="10" s="1"/>
  <c r="BK48" i="10" s="1"/>
  <c r="M47" i="10" a="1"/>
  <c r="M47" i="10" s="1"/>
  <c r="M48" i="10" s="1"/>
  <c r="M18" i="5" s="1"/>
  <c r="M19" i="5" s="1"/>
  <c r="Q47" i="10" a="1"/>
  <c r="Q47" i="10" s="1"/>
  <c r="Q48" i="10" s="1"/>
  <c r="BD47" i="10" a="1"/>
  <c r="BD47" i="10" s="1"/>
  <c r="BD48" i="10" s="1"/>
  <c r="H46" i="10"/>
  <c r="BQ47" i="10" a="1"/>
  <c r="BQ47" i="10" s="1"/>
  <c r="BQ48" i="10" s="1"/>
  <c r="E46" i="10"/>
  <c r="AY47" i="10" a="1"/>
  <c r="AY47" i="10" s="1"/>
  <c r="AY48" i="10" s="1"/>
  <c r="F43" i="10"/>
  <c r="AQ47" i="10" a="1"/>
  <c r="AQ47" i="10" s="1"/>
  <c r="AQ48" i="10" s="1"/>
  <c r="AW47" i="10" a="1"/>
  <c r="AW47" i="10" s="1"/>
  <c r="AW48" i="10" s="1"/>
  <c r="G44" i="10"/>
  <c r="I46" i="10"/>
  <c r="AU47" i="10" a="1"/>
  <c r="AU47" i="10" s="1"/>
  <c r="AU48" i="10" s="1"/>
  <c r="AD47" i="10" a="1"/>
  <c r="AD47" i="10" s="1"/>
  <c r="AD48" i="10" s="1"/>
  <c r="BC47" i="10" a="1"/>
  <c r="BC47" i="10" s="1"/>
  <c r="BC48" i="10" s="1"/>
  <c r="BJ47" i="10" a="1"/>
  <c r="BJ47" i="10" s="1"/>
  <c r="BJ48" i="10" s="1"/>
  <c r="W47" i="10" a="1"/>
  <c r="W47" i="10" s="1"/>
  <c r="W48" i="10" s="1"/>
  <c r="BB47" i="10" a="1"/>
  <c r="BB47" i="10" s="1"/>
  <c r="BB48" i="10" s="1"/>
  <c r="F46" i="10"/>
  <c r="AM47" i="10" a="1"/>
  <c r="AM47" i="10" s="1"/>
  <c r="AM48" i="10" s="1"/>
  <c r="X47" i="10" a="1"/>
  <c r="X47" i="10" s="1"/>
  <c r="X48" i="10" s="1"/>
  <c r="G42" i="10"/>
  <c r="AG47" i="10" a="1"/>
  <c r="AG47" i="10" s="1"/>
  <c r="AG48" i="10" s="1"/>
  <c r="E40" i="10"/>
  <c r="G40" i="10"/>
  <c r="F40" i="10"/>
  <c r="H41" i="10"/>
  <c r="AU15" i="1" s="1"/>
  <c r="F41" i="10"/>
  <c r="AS15" i="1" s="1"/>
  <c r="E41" i="10"/>
  <c r="H40" i="10"/>
  <c r="BG41" i="10"/>
  <c r="I40" i="10"/>
  <c r="G41" i="10"/>
  <c r="AT15" i="1" s="1"/>
  <c r="K33" i="10"/>
  <c r="K47" i="10" a="1"/>
  <c r="K47" i="10" s="1"/>
  <c r="K48" i="10" s="1"/>
  <c r="K18" i="5" s="1"/>
  <c r="K19" i="5" s="1"/>
  <c r="P25" i="5"/>
  <c r="E42" i="10"/>
  <c r="O5" i="4"/>
  <c r="F20" i="8"/>
  <c r="H20" i="8" s="1"/>
  <c r="O22" i="5"/>
  <c r="O32" i="6"/>
  <c r="W13" i="7"/>
  <c r="N20" i="6"/>
  <c r="G22" i="4"/>
  <c r="N27" i="6"/>
  <c r="L16" i="8" l="1"/>
  <c r="P16" i="8"/>
  <c r="BE469" i="3"/>
  <c r="BF466" i="3" s="1"/>
  <c r="BF468" i="3" s="1" a="1"/>
  <c r="BF468" i="3" s="1"/>
  <c r="O80" i="3"/>
  <c r="O82" i="3" s="1"/>
  <c r="P79" i="3" s="1"/>
  <c r="O78" i="3"/>
  <c r="L53" i="3"/>
  <c r="L54" i="3" a="1"/>
  <c r="L54" i="3" s="1"/>
  <c r="AH262" i="3"/>
  <c r="AI259" i="3" s="1"/>
  <c r="AI258" i="3" s="1"/>
  <c r="AV378" i="3" a="1"/>
  <c r="AV378" i="3" s="1"/>
  <c r="AV377" i="3"/>
  <c r="Z190" i="3"/>
  <c r="AA187" i="3" s="1"/>
  <c r="AA186" i="3" s="1"/>
  <c r="AM307" i="3"/>
  <c r="AN304" i="3" s="1"/>
  <c r="AN306" i="3" s="1" a="1"/>
  <c r="AN306" i="3" s="1"/>
  <c r="AX396" i="3" a="1"/>
  <c r="AX396" i="3" s="1"/>
  <c r="AX395" i="3"/>
  <c r="AD226" i="3"/>
  <c r="AE223" i="3" s="1"/>
  <c r="AE222" i="3" s="1"/>
  <c r="AG253" i="3"/>
  <c r="AH250" i="3" s="1"/>
  <c r="AH252" i="3" s="1" a="1"/>
  <c r="AH252" i="3" s="1"/>
  <c r="BA18" i="5"/>
  <c r="BA19" i="5" s="1"/>
  <c r="S18" i="5"/>
  <c r="S19" i="5" s="1"/>
  <c r="AL18" i="5"/>
  <c r="AL19" i="5" s="1"/>
  <c r="T18" i="5"/>
  <c r="T19" i="5" s="1"/>
  <c r="W18" i="5"/>
  <c r="W19" i="5" s="1"/>
  <c r="AQ18" i="5"/>
  <c r="AQ19" i="5" s="1"/>
  <c r="AX18" i="5"/>
  <c r="AX19" i="5" s="1"/>
  <c r="AJ18" i="5"/>
  <c r="AJ19" i="5" s="1"/>
  <c r="BM18" i="5"/>
  <c r="BM19" i="5" s="1"/>
  <c r="BB18" i="5"/>
  <c r="BB19" i="5" s="1"/>
  <c r="AA18" i="5"/>
  <c r="AA19" i="5" s="1"/>
  <c r="BJ18" i="5"/>
  <c r="BJ19" i="5" s="1"/>
  <c r="BK18" i="5"/>
  <c r="BK19" i="5" s="1"/>
  <c r="AB18" i="5"/>
  <c r="AB19" i="5" s="1"/>
  <c r="AE18" i="5"/>
  <c r="AE19" i="5" s="1"/>
  <c r="AO18" i="5"/>
  <c r="AO19" i="5" s="1"/>
  <c r="U18" i="5"/>
  <c r="U19" i="5" s="1"/>
  <c r="O17" i="7"/>
  <c r="P28" i="5"/>
  <c r="AW18" i="5"/>
  <c r="AW19" i="5" s="1"/>
  <c r="O18" i="5"/>
  <c r="O19" i="5" s="1"/>
  <c r="BC18" i="5"/>
  <c r="BC19" i="5" s="1"/>
  <c r="AY18" i="5"/>
  <c r="AY19" i="5" s="1"/>
  <c r="AC18" i="5"/>
  <c r="AC19" i="5" s="1"/>
  <c r="R18" i="5"/>
  <c r="R19" i="5" s="1"/>
  <c r="BH18" i="5"/>
  <c r="BH19" i="5" s="1"/>
  <c r="BO18" i="5"/>
  <c r="BO19" i="5" s="1"/>
  <c r="AN18" i="5"/>
  <c r="AN19" i="5" s="1"/>
  <c r="BI495" i="3" a="1"/>
  <c r="BI495" i="3" s="1"/>
  <c r="BI496" i="3" s="1"/>
  <c r="BJ493" i="3" s="1"/>
  <c r="Q18" i="5"/>
  <c r="Q19" i="5" s="1"/>
  <c r="AR18" i="5"/>
  <c r="AR19" i="5" s="1"/>
  <c r="AG18" i="5"/>
  <c r="AG19" i="5" s="1"/>
  <c r="AD18" i="5"/>
  <c r="AD19" i="5" s="1"/>
  <c r="BI18" i="5"/>
  <c r="BI19" i="5" s="1"/>
  <c r="BE18" i="5"/>
  <c r="BE19" i="5" s="1"/>
  <c r="Z18" i="5"/>
  <c r="Z19" i="5" s="1"/>
  <c r="Y18" i="5"/>
  <c r="Y19" i="5" s="1"/>
  <c r="AV18" i="5"/>
  <c r="AV19" i="5" s="1"/>
  <c r="F7" i="3"/>
  <c r="F6" i="3" s="1"/>
  <c r="F11" i="3" s="1"/>
  <c r="E13" i="3"/>
  <c r="AU18" i="5"/>
  <c r="AU19" i="5" s="1"/>
  <c r="P18" i="5"/>
  <c r="P19" i="5" s="1"/>
  <c r="BG18" i="5"/>
  <c r="BG19" i="5" s="1"/>
  <c r="N18" i="5"/>
  <c r="N19" i="5" s="1"/>
  <c r="BD18" i="5"/>
  <c r="BD19" i="5" s="1"/>
  <c r="X18" i="5"/>
  <c r="X19" i="5" s="1"/>
  <c r="BQ18" i="5"/>
  <c r="BQ19" i="5" s="1"/>
  <c r="AZ18" i="5"/>
  <c r="AZ19" i="5" s="1"/>
  <c r="BP18" i="5"/>
  <c r="BP19" i="5" s="1"/>
  <c r="AF18" i="5"/>
  <c r="AF19" i="5" s="1"/>
  <c r="AI18" i="5"/>
  <c r="AI19" i="5" s="1"/>
  <c r="AM18" i="5"/>
  <c r="AM19" i="5" s="1"/>
  <c r="AK18" i="5"/>
  <c r="AK19" i="5" s="1"/>
  <c r="BL18" i="5"/>
  <c r="BL19" i="5" s="1"/>
  <c r="BN18" i="5"/>
  <c r="BN19" i="5" s="1"/>
  <c r="L18" i="5"/>
  <c r="L19" i="5" s="1"/>
  <c r="AP18" i="5"/>
  <c r="AP19" i="5" s="1"/>
  <c r="AS18" i="5"/>
  <c r="AS19" i="5" s="1"/>
  <c r="M63" i="3" a="1"/>
  <c r="M63" i="3" s="1"/>
  <c r="M62" i="3"/>
  <c r="AH19" i="5"/>
  <c r="F19" i="5" s="1"/>
  <c r="AT19" i="5"/>
  <c r="G19" i="5" s="1"/>
  <c r="V19" i="5"/>
  <c r="E19" i="5" s="1"/>
  <c r="BR19" i="5"/>
  <c r="I19" i="5" s="1"/>
  <c r="BF19" i="5"/>
  <c r="H19" i="5" s="1"/>
  <c r="P19" i="2"/>
  <c r="S6" i="2"/>
  <c r="S13" i="2" s="1"/>
  <c r="O13" i="6"/>
  <c r="O17" i="4"/>
  <c r="O6" i="4"/>
  <c r="O21" i="6" s="1"/>
  <c r="F12" i="7"/>
  <c r="G12" i="7"/>
  <c r="E4" i="3"/>
  <c r="H13" i="7"/>
  <c r="N29" i="8" s="1"/>
  <c r="M60" i="3"/>
  <c r="AG242" i="3"/>
  <c r="AG244" i="3" s="1"/>
  <c r="AH241" i="3" s="1"/>
  <c r="W150" i="3"/>
  <c r="AI271" i="3"/>
  <c r="AJ268" i="3" s="1"/>
  <c r="AJ269" i="3" s="1"/>
  <c r="AB195" i="3"/>
  <c r="AB198" i="3" a="1"/>
  <c r="AB198" i="3" s="1"/>
  <c r="AB197" i="3"/>
  <c r="AI13" i="7"/>
  <c r="G13" i="7" s="1"/>
  <c r="J29" i="8" s="1"/>
  <c r="Y13" i="7"/>
  <c r="F13" i="7" s="1"/>
  <c r="F29" i="8" s="1"/>
  <c r="H12" i="7"/>
  <c r="AK289" i="3"/>
  <c r="AL286" i="3" s="1"/>
  <c r="AL288" i="3" s="1" a="1"/>
  <c r="AL288" i="3" s="1"/>
  <c r="L12" i="7"/>
  <c r="L13" i="7" s="1"/>
  <c r="AW387" i="3" a="1"/>
  <c r="AW387" i="3" s="1"/>
  <c r="AW388" i="3" s="1"/>
  <c r="AX385" i="3" s="1"/>
  <c r="Y168" i="3"/>
  <c r="W153" i="3" a="1"/>
  <c r="W153" i="3" s="1"/>
  <c r="W154" i="3" s="1"/>
  <c r="X151" i="3" s="1"/>
  <c r="X153" i="3" s="1" a="1"/>
  <c r="X153" i="3" s="1"/>
  <c r="BI492" i="3"/>
  <c r="Z179" i="3"/>
  <c r="J47" i="3"/>
  <c r="H17" i="3"/>
  <c r="H15" i="3"/>
  <c r="H18" i="3" a="1"/>
  <c r="H18" i="3" s="1"/>
  <c r="G20" i="3"/>
  <c r="H29" i="3"/>
  <c r="I38" i="3"/>
  <c r="I40" i="3" s="1"/>
  <c r="AR341" i="3"/>
  <c r="AR343" i="3" s="1"/>
  <c r="AS340" i="3" s="1"/>
  <c r="AY405" i="3" a="1"/>
  <c r="AY405" i="3" s="1"/>
  <c r="AY406" i="3" s="1"/>
  <c r="AZ403" i="3" s="1"/>
  <c r="AR339" i="3"/>
  <c r="AY402" i="3"/>
  <c r="O91" i="3"/>
  <c r="P88" i="3" s="1"/>
  <c r="P89" i="3" s="1"/>
  <c r="AW384" i="3"/>
  <c r="AG240" i="3"/>
  <c r="R118" i="3"/>
  <c r="S115" i="3" s="1"/>
  <c r="S114" i="3" s="1"/>
  <c r="J46" i="3"/>
  <c r="K43" i="3" s="1"/>
  <c r="K45" i="3" s="1" a="1"/>
  <c r="K45" i="3" s="1"/>
  <c r="AE235" i="3"/>
  <c r="AF232" i="3" s="1"/>
  <c r="AF231" i="3" s="1"/>
  <c r="J35" i="3"/>
  <c r="J36" i="3" a="1"/>
  <c r="J36" i="3" s="1"/>
  <c r="J33" i="3"/>
  <c r="AL298" i="3"/>
  <c r="AM295" i="3" s="1"/>
  <c r="AM297" i="3" s="1" a="1"/>
  <c r="AM297" i="3" s="1"/>
  <c r="Y170" i="3"/>
  <c r="Y172" i="3" s="1"/>
  <c r="Z169" i="3" s="1"/>
  <c r="H49" i="3"/>
  <c r="W141" i="3"/>
  <c r="W149" i="3" s="1"/>
  <c r="W143" i="3"/>
  <c r="W145" i="3" s="1"/>
  <c r="X142" i="3" s="1"/>
  <c r="Z180" i="3" a="1"/>
  <c r="Z180" i="3" s="1"/>
  <c r="AO325" i="3"/>
  <c r="AP322" i="3" s="1"/>
  <c r="AP321" i="3" s="1"/>
  <c r="S26" i="4"/>
  <c r="S7" i="7" s="1"/>
  <c r="W26" i="4"/>
  <c r="W7" i="7" s="1"/>
  <c r="AQ26" i="4"/>
  <c r="AQ7" i="7" s="1"/>
  <c r="M26" i="4"/>
  <c r="M7" i="7" s="1"/>
  <c r="AX26" i="4"/>
  <c r="AX7" i="7" s="1"/>
  <c r="AJ26" i="4"/>
  <c r="AJ7" i="7" s="1"/>
  <c r="AH26" i="4"/>
  <c r="AH7" i="7" s="1"/>
  <c r="BM26" i="4"/>
  <c r="BM7" i="7" s="1"/>
  <c r="AR26" i="4"/>
  <c r="AR7" i="7" s="1"/>
  <c r="BJ26" i="4"/>
  <c r="BJ7" i="7" s="1"/>
  <c r="BK26" i="4"/>
  <c r="BK7" i="7" s="1"/>
  <c r="AB26" i="4"/>
  <c r="AB7" i="7" s="1"/>
  <c r="AE26" i="4"/>
  <c r="AE7" i="7" s="1"/>
  <c r="AT26" i="4"/>
  <c r="AT7" i="7" s="1"/>
  <c r="AO26" i="4"/>
  <c r="AO7" i="7" s="1"/>
  <c r="U26" i="4"/>
  <c r="U7" i="7" s="1"/>
  <c r="O26" i="4"/>
  <c r="O7" i="7" s="1"/>
  <c r="AY26" i="4"/>
  <c r="AY7" i="7" s="1"/>
  <c r="AC26" i="4"/>
  <c r="AC7" i="7" s="1"/>
  <c r="R26" i="4"/>
  <c r="R7" i="7" s="1"/>
  <c r="V26" i="4"/>
  <c r="V7" i="7" s="1"/>
  <c r="BH26" i="4"/>
  <c r="BH7" i="7" s="1"/>
  <c r="BO26" i="4"/>
  <c r="BO7" i="7" s="1"/>
  <c r="AN26" i="4"/>
  <c r="AN7" i="7" s="1"/>
  <c r="Q26" i="4"/>
  <c r="Q7" i="7" s="1"/>
  <c r="AD26" i="4"/>
  <c r="AD7" i="7" s="1"/>
  <c r="BI26" i="4"/>
  <c r="BI7" i="7" s="1"/>
  <c r="BE26" i="4"/>
  <c r="BE7" i="7" s="1"/>
  <c r="Z26" i="4"/>
  <c r="Z7" i="7" s="1"/>
  <c r="BR26" i="4"/>
  <c r="BR7" i="7" s="1"/>
  <c r="BF26" i="4"/>
  <c r="BF7" i="7" s="1"/>
  <c r="Y26" i="4"/>
  <c r="Y7" i="7" s="1"/>
  <c r="AV26" i="4"/>
  <c r="AV7" i="7" s="1"/>
  <c r="AW26" i="4"/>
  <c r="AW7" i="7" s="1"/>
  <c r="X26" i="4"/>
  <c r="X7" i="7" s="1"/>
  <c r="P26" i="4"/>
  <c r="P7" i="7" s="1"/>
  <c r="AZ26" i="4"/>
  <c r="AZ7" i="7" s="1"/>
  <c r="BG26" i="4"/>
  <c r="BG7" i="7" s="1"/>
  <c r="BP26" i="4"/>
  <c r="BP7" i="7" s="1"/>
  <c r="AF26" i="4"/>
  <c r="AF7" i="7" s="1"/>
  <c r="N26" i="4"/>
  <c r="N7" i="7" s="1"/>
  <c r="AI26" i="4"/>
  <c r="AI7" i="7" s="1"/>
  <c r="T26" i="4"/>
  <c r="T7" i="7" s="1"/>
  <c r="BC26" i="4"/>
  <c r="BC7" i="7" s="1"/>
  <c r="BQ26" i="4"/>
  <c r="BQ7" i="7" s="1"/>
  <c r="AK26" i="4"/>
  <c r="AK7" i="7" s="1"/>
  <c r="BL26" i="4"/>
  <c r="BL7" i="7" s="1"/>
  <c r="BN26" i="4"/>
  <c r="BN7" i="7" s="1"/>
  <c r="L26" i="4"/>
  <c r="L7" i="7" s="1"/>
  <c r="AP26" i="4"/>
  <c r="AP7" i="7" s="1"/>
  <c r="AS26" i="4"/>
  <c r="AS7" i="7" s="1"/>
  <c r="BB26" i="4"/>
  <c r="BB7" i="7" s="1"/>
  <c r="AA26" i="4"/>
  <c r="AA7" i="7" s="1"/>
  <c r="AG26" i="4"/>
  <c r="AG7" i="7" s="1"/>
  <c r="AU26" i="4"/>
  <c r="AU7" i="7" s="1"/>
  <c r="AM26" i="4"/>
  <c r="AM7" i="7" s="1"/>
  <c r="K26" i="4"/>
  <c r="K7" i="7" s="1"/>
  <c r="BD26" i="4"/>
  <c r="BD7" i="7" s="1"/>
  <c r="AL26" i="4"/>
  <c r="AL7" i="7" s="1"/>
  <c r="BA26" i="4"/>
  <c r="BA7" i="7" s="1"/>
  <c r="N71" i="3"/>
  <c r="N72" i="3" a="1"/>
  <c r="N72" i="3" s="1"/>
  <c r="N69" i="3"/>
  <c r="AN316" i="3"/>
  <c r="AO313" i="3" s="1"/>
  <c r="BA422" i="3"/>
  <c r="BA423" i="3" a="1"/>
  <c r="BA423" i="3" s="1"/>
  <c r="BA420" i="3"/>
  <c r="R108" i="3" a="1"/>
  <c r="R108" i="3" s="1"/>
  <c r="R107" i="3"/>
  <c r="R105" i="3"/>
  <c r="BC451" i="3"/>
  <c r="BD448" i="3" s="1"/>
  <c r="BB442" i="3"/>
  <c r="BC439" i="3" s="1"/>
  <c r="X161" i="3"/>
  <c r="X159" i="3"/>
  <c r="X162" i="3" a="1"/>
  <c r="X162" i="3" s="1"/>
  <c r="BB429" i="3"/>
  <c r="BB432" i="3" a="1"/>
  <c r="BB432" i="3" s="1"/>
  <c r="BB431" i="3"/>
  <c r="AR352" i="3"/>
  <c r="AS349" i="3" s="1"/>
  <c r="H48" i="3"/>
  <c r="AZ413" i="3"/>
  <c r="AZ411" i="3"/>
  <c r="AZ414" i="3" a="1"/>
  <c r="AZ414" i="3" s="1"/>
  <c r="T136" i="3"/>
  <c r="U133" i="3" s="1"/>
  <c r="AC217" i="3"/>
  <c r="AD214" i="3" s="1"/>
  <c r="AC206" i="3"/>
  <c r="AC207" i="3" a="1"/>
  <c r="AC207" i="3" s="1"/>
  <c r="AC204" i="3"/>
  <c r="P100" i="3"/>
  <c r="Q97" i="3" s="1"/>
  <c r="AR15" i="1"/>
  <c r="T123" i="3"/>
  <c r="T126" i="3" a="1"/>
  <c r="T126" i="3" s="1"/>
  <c r="T125" i="3"/>
  <c r="BD460" i="3"/>
  <c r="BE457" i="3" s="1"/>
  <c r="BG487" i="3"/>
  <c r="BH484" i="3" s="1"/>
  <c r="AP334" i="3"/>
  <c r="AQ331" i="3" s="1"/>
  <c r="H40" i="3"/>
  <c r="BJ514" i="3"/>
  <c r="BK511" i="3" s="1"/>
  <c r="AS361" i="3"/>
  <c r="AT358" i="3" s="1"/>
  <c r="AU368" i="3"/>
  <c r="AU369" i="3" a="1"/>
  <c r="AU369" i="3" s="1"/>
  <c r="AU366" i="3"/>
  <c r="AJ280" i="3"/>
  <c r="AK277" i="3" s="1"/>
  <c r="BG477" i="3" a="1"/>
  <c r="BG477" i="3" s="1"/>
  <c r="BG476" i="3"/>
  <c r="BG474" i="3"/>
  <c r="BI505" i="3"/>
  <c r="BJ502" i="3" s="1"/>
  <c r="BK523" i="3"/>
  <c r="H28" i="3"/>
  <c r="I56" i="3" a="1"/>
  <c r="I56" i="3" s="1"/>
  <c r="I58" i="3" s="1"/>
  <c r="I48" i="3"/>
  <c r="I49" i="3"/>
  <c r="P18" i="4"/>
  <c r="P29" i="6" s="1"/>
  <c r="P16" i="4"/>
  <c r="AB7" i="2"/>
  <c r="Q5" i="2"/>
  <c r="E25" i="6"/>
  <c r="D16" i="8" s="1"/>
  <c r="H16" i="8" s="1"/>
  <c r="I41" i="10"/>
  <c r="AV15" i="1" s="1"/>
  <c r="BG25" i="6"/>
  <c r="BG12" i="7" s="1"/>
  <c r="O27" i="4"/>
  <c r="O34" i="6" s="1"/>
  <c r="O15" i="7"/>
  <c r="P28" i="4"/>
  <c r="P35" i="6" s="1"/>
  <c r="P16" i="7"/>
  <c r="Q29" i="5"/>
  <c r="P18" i="7"/>
  <c r="N31" i="6"/>
  <c r="P8" i="2"/>
  <c r="O9" i="2"/>
  <c r="Q25" i="5"/>
  <c r="P5" i="4"/>
  <c r="G20" i="8"/>
  <c r="P32" i="6"/>
  <c r="O16" i="8"/>
  <c r="H22" i="4"/>
  <c r="O20" i="6"/>
  <c r="N34" i="6"/>
  <c r="N21" i="6"/>
  <c r="O27" i="6"/>
  <c r="P22" i="5"/>
  <c r="K16" i="8"/>
  <c r="J20" i="8"/>
  <c r="L20" i="8" s="1"/>
  <c r="K29" i="8" l="1"/>
  <c r="L29" i="8"/>
  <c r="P29" i="8"/>
  <c r="O29" i="8"/>
  <c r="BF467" i="3"/>
  <c r="BF469" i="3" s="1"/>
  <c r="BG466" i="3" s="1"/>
  <c r="BG467" i="3" s="1"/>
  <c r="BF465" i="3"/>
  <c r="AV379" i="3"/>
  <c r="AW376" i="3" s="1"/>
  <c r="AW377" i="3" s="1"/>
  <c r="AN303" i="3"/>
  <c r="AN305" i="3"/>
  <c r="L55" i="3"/>
  <c r="M52" i="3" s="1"/>
  <c r="M53" i="3" s="1"/>
  <c r="AA188" i="3"/>
  <c r="AA189" i="3" a="1"/>
  <c r="AA189" i="3" s="1"/>
  <c r="AI260" i="3"/>
  <c r="AI261" i="3" a="1"/>
  <c r="AI261" i="3" s="1"/>
  <c r="AX397" i="3"/>
  <c r="AY394" i="3" s="1"/>
  <c r="AY393" i="3" s="1"/>
  <c r="AY401" i="3" s="1"/>
  <c r="AE224" i="3"/>
  <c r="F8" i="3"/>
  <c r="F9" i="3" a="1"/>
  <c r="F9" i="3" s="1"/>
  <c r="F12" i="3" s="1"/>
  <c r="AE225" i="3" a="1"/>
  <c r="AE225" i="3" s="1"/>
  <c r="M64" i="3"/>
  <c r="N61" i="3" s="1"/>
  <c r="N62" i="3" s="1"/>
  <c r="AH251" i="3"/>
  <c r="AH253" i="3" s="1"/>
  <c r="AI250" i="3" s="1"/>
  <c r="AI252" i="3" s="1" a="1"/>
  <c r="AI252" i="3" s="1"/>
  <c r="AH249" i="3"/>
  <c r="AB199" i="3"/>
  <c r="AC196" i="3" s="1"/>
  <c r="AC197" i="3" s="1"/>
  <c r="S117" i="3" a="1"/>
  <c r="S117" i="3" s="1"/>
  <c r="S116" i="3"/>
  <c r="P17" i="7"/>
  <c r="Q28" i="5"/>
  <c r="T6" i="2"/>
  <c r="T13" i="2" s="1"/>
  <c r="Q19" i="2"/>
  <c r="P13" i="6"/>
  <c r="P17" i="4"/>
  <c r="P28" i="6" s="1"/>
  <c r="P6" i="4"/>
  <c r="P21" i="6" s="1"/>
  <c r="K44" i="3"/>
  <c r="K46" i="3" s="1"/>
  <c r="L43" i="3" s="1"/>
  <c r="L44" i="3" s="1"/>
  <c r="H20" i="3"/>
  <c r="F7" i="7"/>
  <c r="AJ267" i="3"/>
  <c r="P90" i="3" a="1"/>
  <c r="P90" i="3" s="1"/>
  <c r="P91" i="3" s="1"/>
  <c r="Q88" i="3" s="1"/>
  <c r="AJ270" i="3" a="1"/>
  <c r="AJ270" i="3" s="1"/>
  <c r="AJ271" i="3" s="1"/>
  <c r="AK268" i="3" s="1"/>
  <c r="AK269" i="3" s="1"/>
  <c r="AL285" i="3"/>
  <c r="H19" i="3"/>
  <c r="I16" i="3" s="1"/>
  <c r="AM296" i="3"/>
  <c r="AM298" i="3" s="1"/>
  <c r="AN295" i="3" s="1"/>
  <c r="AM294" i="3"/>
  <c r="AP323" i="3"/>
  <c r="AL287" i="3"/>
  <c r="AL289" i="3" s="1"/>
  <c r="AM286" i="3" s="1"/>
  <c r="AM288" i="3" s="1" a="1"/>
  <c r="AM288" i="3" s="1"/>
  <c r="K42" i="3"/>
  <c r="K47" i="3" s="1"/>
  <c r="G22" i="3"/>
  <c r="P87" i="3"/>
  <c r="Z181" i="3"/>
  <c r="AA178" i="3" s="1"/>
  <c r="AA177" i="3" s="1"/>
  <c r="AA185" i="3" s="1"/>
  <c r="E26" i="4"/>
  <c r="AP324" i="3" a="1"/>
  <c r="AP324" i="3" s="1"/>
  <c r="H7" i="7"/>
  <c r="I57" i="3"/>
  <c r="J56" i="3"/>
  <c r="K56" i="3" s="1"/>
  <c r="L56" i="3" s="1"/>
  <c r="E7" i="7"/>
  <c r="H26" i="4"/>
  <c r="G21" i="3"/>
  <c r="J38" i="3"/>
  <c r="H30" i="3"/>
  <c r="AS342" i="3" a="1"/>
  <c r="AS342" i="3" s="1"/>
  <c r="AS339" i="3"/>
  <c r="AS347" i="3" s="1"/>
  <c r="AS341" i="3"/>
  <c r="BG478" i="3"/>
  <c r="BH475" i="3" s="1"/>
  <c r="BH474" i="3" s="1"/>
  <c r="BH482" i="3" s="1"/>
  <c r="AF234" i="3" a="1"/>
  <c r="AF234" i="3" s="1"/>
  <c r="AF233" i="3"/>
  <c r="R109" i="3"/>
  <c r="S106" i="3" s="1"/>
  <c r="S105" i="3" s="1"/>
  <c r="S113" i="3" s="1"/>
  <c r="X150" i="3"/>
  <c r="X158" i="3" s="1"/>
  <c r="X152" i="3"/>
  <c r="X154" i="3" s="1"/>
  <c r="Y151" i="3" s="1"/>
  <c r="Y153" i="3" s="1" a="1"/>
  <c r="Y153" i="3" s="1"/>
  <c r="AC208" i="3"/>
  <c r="AD205" i="3" s="1"/>
  <c r="AD204" i="3" s="1"/>
  <c r="AD212" i="3" s="1"/>
  <c r="J37" i="3"/>
  <c r="K34" i="3" s="1"/>
  <c r="G7" i="7"/>
  <c r="I7" i="7"/>
  <c r="I26" i="4"/>
  <c r="F26" i="4"/>
  <c r="G26" i="4"/>
  <c r="BJ492" i="3"/>
  <c r="BJ500" i="3" s="1"/>
  <c r="BJ494" i="3"/>
  <c r="BJ495" i="3" a="1"/>
  <c r="BJ495" i="3" s="1"/>
  <c r="H31" i="3"/>
  <c r="I25" i="3"/>
  <c r="AU370" i="3"/>
  <c r="AV367" i="3" s="1"/>
  <c r="Z168" i="3"/>
  <c r="Z176" i="3" s="1"/>
  <c r="Z171" i="3" a="1"/>
  <c r="Z171" i="3" s="1"/>
  <c r="Z170" i="3"/>
  <c r="AZ415" i="3"/>
  <c r="BA412" i="3" s="1"/>
  <c r="P81" i="3" a="1"/>
  <c r="P81" i="3" s="1"/>
  <c r="P78" i="3"/>
  <c r="P86" i="3" s="1"/>
  <c r="P80" i="3"/>
  <c r="BA424" i="3"/>
  <c r="BB421" i="3" s="1"/>
  <c r="I39" i="3"/>
  <c r="AT357" i="3"/>
  <c r="AT359" i="3"/>
  <c r="AT360" i="3" a="1"/>
  <c r="AT360" i="3" s="1"/>
  <c r="BH485" i="3"/>
  <c r="BH486" i="3" a="1"/>
  <c r="BH486" i="3" s="1"/>
  <c r="BH483" i="3"/>
  <c r="AH240" i="3"/>
  <c r="AH248" i="3" s="1"/>
  <c r="AH243" i="3" a="1"/>
  <c r="AH243" i="3" s="1"/>
  <c r="AH242" i="3"/>
  <c r="X163" i="3"/>
  <c r="Y160" i="3" s="1"/>
  <c r="AO315" i="3" a="1"/>
  <c r="AO315" i="3" s="1"/>
  <c r="AO312" i="3"/>
  <c r="AO314" i="3"/>
  <c r="AQ332" i="3"/>
  <c r="AQ333" i="3" a="1"/>
  <c r="AQ333" i="3" s="1"/>
  <c r="AQ330" i="3"/>
  <c r="X141" i="3"/>
  <c r="X149" i="3" s="1"/>
  <c r="X144" i="3" a="1"/>
  <c r="X144" i="3" s="1"/>
  <c r="X143" i="3"/>
  <c r="BE459" i="3" a="1"/>
  <c r="BE459" i="3" s="1"/>
  <c r="BE458" i="3"/>
  <c r="BE456" i="3"/>
  <c r="Q98" i="3"/>
  <c r="Q99" i="3" a="1"/>
  <c r="Q99" i="3" s="1"/>
  <c r="Q96" i="3"/>
  <c r="BC441" i="3" a="1"/>
  <c r="BC441" i="3" s="1"/>
  <c r="BC438" i="3"/>
  <c r="BC440" i="3"/>
  <c r="AD215" i="3"/>
  <c r="AD213" i="3"/>
  <c r="AD216" i="3" a="1"/>
  <c r="AD216" i="3" s="1"/>
  <c r="BD447" i="3"/>
  <c r="BD450" i="3" a="1"/>
  <c r="BD450" i="3" s="1"/>
  <c r="BD449" i="3"/>
  <c r="AX386" i="3"/>
  <c r="AX387" i="3" a="1"/>
  <c r="AX387" i="3" s="1"/>
  <c r="AX384" i="3"/>
  <c r="AX392" i="3" s="1"/>
  <c r="AZ402" i="3"/>
  <c r="AZ410" i="3" s="1"/>
  <c r="AZ405" i="3" a="1"/>
  <c r="AZ405" i="3" s="1"/>
  <c r="AZ404" i="3"/>
  <c r="AK278" i="3"/>
  <c r="AK279" i="3" a="1"/>
  <c r="AK279" i="3" s="1"/>
  <c r="AK276" i="3"/>
  <c r="T127" i="3"/>
  <c r="U124" i="3" s="1"/>
  <c r="U132" i="3"/>
  <c r="U134" i="3"/>
  <c r="U135" i="3" a="1"/>
  <c r="U135" i="3" s="1"/>
  <c r="BB433" i="3"/>
  <c r="BC430" i="3" s="1"/>
  <c r="N73" i="3"/>
  <c r="O70" i="3" s="1"/>
  <c r="BJ501" i="3"/>
  <c r="BJ503" i="3"/>
  <c r="BJ504" i="3" a="1"/>
  <c r="BJ504" i="3" s="1"/>
  <c r="BK513" i="3" a="1"/>
  <c r="BK513" i="3" s="1"/>
  <c r="BK512" i="3"/>
  <c r="BK510" i="3"/>
  <c r="AS350" i="3"/>
  <c r="AS351" i="3" a="1"/>
  <c r="AS351" i="3" s="1"/>
  <c r="AS348" i="3"/>
  <c r="AN307" i="3"/>
  <c r="AO304" i="3" s="1"/>
  <c r="E3" i="3"/>
  <c r="L22" i="2" s="1"/>
  <c r="L14" i="6" s="1"/>
  <c r="J65" i="3" a="1"/>
  <c r="J65" i="3" s="1"/>
  <c r="K65" i="3" s="1"/>
  <c r="L65" i="3" s="1"/>
  <c r="M65" i="3" s="1"/>
  <c r="J48" i="3"/>
  <c r="J49" i="3"/>
  <c r="F14" i="3"/>
  <c r="F5" i="3"/>
  <c r="Q18" i="4"/>
  <c r="Q29" i="6" s="1"/>
  <c r="Q16" i="4"/>
  <c r="AC7" i="2"/>
  <c r="G16" i="8"/>
  <c r="R5" i="2"/>
  <c r="I25" i="6"/>
  <c r="R16" i="8" s="1"/>
  <c r="T16" i="8" s="1"/>
  <c r="E12" i="7"/>
  <c r="K13" i="7"/>
  <c r="R29" i="5"/>
  <c r="Q18" i="7"/>
  <c r="Q28" i="4"/>
  <c r="Q35" i="6" s="1"/>
  <c r="Q16" i="7"/>
  <c r="P27" i="4"/>
  <c r="P15" i="7"/>
  <c r="Q8" i="2"/>
  <c r="P9" i="2"/>
  <c r="R25" i="5"/>
  <c r="Q5" i="4"/>
  <c r="N20" i="8"/>
  <c r="P20" i="8" s="1"/>
  <c r="Q32" i="6"/>
  <c r="Q22" i="5"/>
  <c r="P27" i="6"/>
  <c r="K20" i="8"/>
  <c r="O28" i="6"/>
  <c r="O31" i="6" s="1"/>
  <c r="P20" i="6"/>
  <c r="I22" i="4"/>
  <c r="AA190" i="3" l="1"/>
  <c r="AB187" i="3" s="1"/>
  <c r="AB188" i="3" s="1"/>
  <c r="AW378" i="3" a="1"/>
  <c r="AW378" i="3" s="1"/>
  <c r="AW379" i="3" s="1"/>
  <c r="AX376" i="3" s="1"/>
  <c r="AX378" i="3" s="1" a="1"/>
  <c r="AX378" i="3" s="1"/>
  <c r="AW375" i="3"/>
  <c r="AW383" i="3" s="1"/>
  <c r="BG468" i="3" a="1"/>
  <c r="BG468" i="3" s="1"/>
  <c r="BG469" i="3" s="1"/>
  <c r="BH466" i="3" s="1"/>
  <c r="BH467" i="3" s="1"/>
  <c r="BG465" i="3"/>
  <c r="BG473" i="3" s="1"/>
  <c r="AI262" i="3"/>
  <c r="AJ259" i="3" s="1"/>
  <c r="AJ258" i="3" s="1"/>
  <c r="AJ266" i="3" s="1"/>
  <c r="M54" i="3" a="1"/>
  <c r="M54" i="3" s="1"/>
  <c r="M55" i="3" s="1"/>
  <c r="N52" i="3" s="1"/>
  <c r="N54" i="3" s="1" a="1"/>
  <c r="N54" i="3" s="1"/>
  <c r="M51" i="3"/>
  <c r="M59" i="3" s="1"/>
  <c r="AY396" i="3" a="1"/>
  <c r="AY396" i="3" s="1"/>
  <c r="AY395" i="3"/>
  <c r="AE226" i="3"/>
  <c r="AF223" i="3" s="1"/>
  <c r="AF222" i="3" s="1"/>
  <c r="AF230" i="3" s="1"/>
  <c r="F10" i="3"/>
  <c r="F13" i="3" s="1"/>
  <c r="N63" i="3" a="1"/>
  <c r="N63" i="3" s="1"/>
  <c r="N64" i="3" s="1"/>
  <c r="O61" i="3" s="1"/>
  <c r="O62" i="3" s="1"/>
  <c r="N60" i="3"/>
  <c r="N68" i="3" s="1"/>
  <c r="S118" i="3"/>
  <c r="T115" i="3" s="1"/>
  <c r="T116" i="3" s="1"/>
  <c r="AC195" i="3"/>
  <c r="AC203" i="3" s="1"/>
  <c r="AC198" i="3" a="1"/>
  <c r="AC198" i="3" s="1"/>
  <c r="AC199" i="3" s="1"/>
  <c r="AD196" i="3" s="1"/>
  <c r="AD198" i="3" s="1" a="1"/>
  <c r="AD198" i="3" s="1"/>
  <c r="AS343" i="3"/>
  <c r="AT340" i="3" s="1"/>
  <c r="AT339" i="3" s="1"/>
  <c r="AT347" i="3" s="1"/>
  <c r="AK270" i="3" a="1"/>
  <c r="AK270" i="3" s="1"/>
  <c r="AK271" i="3" s="1"/>
  <c r="AL268" i="3" s="1"/>
  <c r="BH477" i="3" a="1"/>
  <c r="BH477" i="3" s="1"/>
  <c r="BH476" i="3"/>
  <c r="BE460" i="3"/>
  <c r="BF457" i="3" s="1"/>
  <c r="BF458" i="3" s="1"/>
  <c r="Q17" i="7"/>
  <c r="R28" i="5"/>
  <c r="S108" i="3" a="1"/>
  <c r="S108" i="3" s="1"/>
  <c r="S107" i="3"/>
  <c r="Q13" i="6"/>
  <c r="Q17" i="4"/>
  <c r="Q6" i="4"/>
  <c r="U6" i="2"/>
  <c r="U13" i="2" s="1"/>
  <c r="R19" i="2"/>
  <c r="Q90" i="3" a="1"/>
  <c r="Q90" i="3" s="1"/>
  <c r="Q89" i="3"/>
  <c r="AM285" i="3"/>
  <c r="AM293" i="3" s="1"/>
  <c r="AP325" i="3"/>
  <c r="AQ322" i="3" s="1"/>
  <c r="AQ321" i="3" s="1"/>
  <c r="AQ329" i="3" s="1"/>
  <c r="AM287" i="3"/>
  <c r="AM289" i="3" s="1"/>
  <c r="AN286" i="3" s="1"/>
  <c r="AN288" i="3" s="1" a="1"/>
  <c r="AN288" i="3" s="1"/>
  <c r="AK267" i="3"/>
  <c r="AK275" i="3" s="1"/>
  <c r="F4" i="3"/>
  <c r="H22" i="3"/>
  <c r="H23" i="3" s="1"/>
  <c r="H21" i="3"/>
  <c r="Q87" i="3"/>
  <c r="Q95" i="3" s="1"/>
  <c r="AI251" i="3"/>
  <c r="AI253" i="3" s="1"/>
  <c r="AJ250" i="3" s="1"/>
  <c r="J58" i="3"/>
  <c r="AA179" i="3"/>
  <c r="J57" i="3"/>
  <c r="AA180" i="3" a="1"/>
  <c r="AA180" i="3" s="1"/>
  <c r="AI249" i="3"/>
  <c r="AI257" i="3" s="1"/>
  <c r="Z172" i="3"/>
  <c r="AA169" i="3" s="1"/>
  <c r="AA170" i="3" s="1"/>
  <c r="BC442" i="3"/>
  <c r="BD439" i="3" s="1"/>
  <c r="BD438" i="3" s="1"/>
  <c r="BD446" i="3" s="1"/>
  <c r="AB186" i="3"/>
  <c r="AB194" i="3" s="1"/>
  <c r="I18" i="3" a="1"/>
  <c r="I18" i="3" s="1"/>
  <c r="I15" i="3"/>
  <c r="I17" i="3"/>
  <c r="L42" i="3"/>
  <c r="L45" i="3" a="1"/>
  <c r="L45" i="3" s="1"/>
  <c r="L46" i="3" s="1"/>
  <c r="M43" i="3" s="1"/>
  <c r="AF235" i="3"/>
  <c r="AG232" i="3" s="1"/>
  <c r="AG231" i="3" s="1"/>
  <c r="AG239" i="3" s="1"/>
  <c r="AK280" i="3"/>
  <c r="AL277" i="3" s="1"/>
  <c r="AL278" i="3" s="1"/>
  <c r="AD217" i="3"/>
  <c r="AE214" i="3" s="1"/>
  <c r="AE215" i="3" s="1"/>
  <c r="BJ505" i="3"/>
  <c r="BK502" i="3" s="1"/>
  <c r="BK504" i="3" s="1" a="1"/>
  <c r="BK504" i="3" s="1"/>
  <c r="AD207" i="3" a="1"/>
  <c r="AD207" i="3" s="1"/>
  <c r="AD206" i="3"/>
  <c r="K33" i="3"/>
  <c r="K41" i="3" s="1"/>
  <c r="K36" i="3" a="1"/>
  <c r="K36" i="3" s="1"/>
  <c r="K35" i="3"/>
  <c r="Q100" i="3"/>
  <c r="R97" i="3" s="1"/>
  <c r="R96" i="3" s="1"/>
  <c r="R104" i="3" s="1"/>
  <c r="AQ334" i="3"/>
  <c r="AR331" i="3" s="1"/>
  <c r="AR333" i="3" s="1" a="1"/>
  <c r="AR333" i="3" s="1"/>
  <c r="Y152" i="3"/>
  <c r="Y154" i="3" s="1"/>
  <c r="Z151" i="3" s="1"/>
  <c r="Y150" i="3"/>
  <c r="Y158" i="3" s="1"/>
  <c r="AX388" i="3"/>
  <c r="AY385" i="3" s="1"/>
  <c r="AY387" i="3" s="1" a="1"/>
  <c r="AY387" i="3" s="1"/>
  <c r="Y161" i="3"/>
  <c r="Y159" i="3"/>
  <c r="Y167" i="3" s="1"/>
  <c r="Y162" i="3" a="1"/>
  <c r="Y162" i="3" s="1"/>
  <c r="BA413" i="3"/>
  <c r="BA411" i="3"/>
  <c r="BA419" i="3" s="1"/>
  <c r="BA414" i="3" a="1"/>
  <c r="BA414" i="3" s="1"/>
  <c r="BK514" i="3"/>
  <c r="BD451" i="3"/>
  <c r="BE448" i="3" s="1"/>
  <c r="AH244" i="3"/>
  <c r="AI241" i="3" s="1"/>
  <c r="AN294" i="3"/>
  <c r="AN302" i="3" s="1"/>
  <c r="AN296" i="3"/>
  <c r="AN297" i="3" a="1"/>
  <c r="AN297" i="3" s="1"/>
  <c r="I24" i="3"/>
  <c r="I29" i="3" s="1"/>
  <c r="I26" i="3"/>
  <c r="I27" i="3" a="1"/>
  <c r="I27" i="3" s="1"/>
  <c r="J39" i="3"/>
  <c r="J66" i="3"/>
  <c r="U136" i="3"/>
  <c r="V133" i="3" s="1"/>
  <c r="BH487" i="3"/>
  <c r="BI484" i="3" s="1"/>
  <c r="AZ406" i="3"/>
  <c r="BA403" i="3" s="1"/>
  <c r="X145" i="3"/>
  <c r="Y142" i="3" s="1"/>
  <c r="BB420" i="3"/>
  <c r="BB428" i="3" s="1"/>
  <c r="BB422" i="3"/>
  <c r="BB423" i="3" a="1"/>
  <c r="BB423" i="3" s="1"/>
  <c r="O69" i="3"/>
  <c r="O77" i="3" s="1"/>
  <c r="O71" i="3"/>
  <c r="O72" i="3" a="1"/>
  <c r="O72" i="3" s="1"/>
  <c r="BC429" i="3"/>
  <c r="BC437" i="3" s="1"/>
  <c r="BC432" i="3" a="1"/>
  <c r="BC432" i="3" s="1"/>
  <c r="BC431" i="3"/>
  <c r="J40" i="3"/>
  <c r="J41" i="3" s="1"/>
  <c r="U125" i="3"/>
  <c r="U123" i="3"/>
  <c r="U131" i="3" s="1"/>
  <c r="U126" i="3" a="1"/>
  <c r="U126" i="3" s="1"/>
  <c r="AO316" i="3"/>
  <c r="AP313" i="3" s="1"/>
  <c r="P82" i="3"/>
  <c r="Q79" i="3" s="1"/>
  <c r="AV368" i="3"/>
  <c r="AV366" i="3"/>
  <c r="AV374" i="3" s="1"/>
  <c r="AV369" i="3" a="1"/>
  <c r="AV369" i="3" s="1"/>
  <c r="J67" i="3"/>
  <c r="AO306" i="3" a="1"/>
  <c r="AO306" i="3" s="1"/>
  <c r="AO303" i="3"/>
  <c r="AO311" i="3" s="1"/>
  <c r="AO305" i="3"/>
  <c r="AS352" i="3"/>
  <c r="AT349" i="3" s="1"/>
  <c r="AT361" i="3"/>
  <c r="AU358" i="3" s="1"/>
  <c r="BJ496" i="3"/>
  <c r="BK493" i="3" s="1"/>
  <c r="K74" i="3" a="1"/>
  <c r="K74" i="3" s="1"/>
  <c r="K66" i="3"/>
  <c r="K67" i="3"/>
  <c r="K49" i="3"/>
  <c r="K50" i="3" s="1"/>
  <c r="K48" i="3"/>
  <c r="K57" i="3"/>
  <c r="K58" i="3"/>
  <c r="F2" i="3"/>
  <c r="R16" i="4"/>
  <c r="R18" i="4"/>
  <c r="R29" i="6" s="1"/>
  <c r="AD7" i="2"/>
  <c r="E13" i="7"/>
  <c r="D29" i="8" s="1"/>
  <c r="S5" i="2"/>
  <c r="S16" i="8"/>
  <c r="BG13" i="7"/>
  <c r="I12" i="7"/>
  <c r="R28" i="4"/>
  <c r="R35" i="6" s="1"/>
  <c r="R16" i="7"/>
  <c r="Q27" i="4"/>
  <c r="Q34" i="6" s="1"/>
  <c r="Q15" i="7"/>
  <c r="S29" i="5"/>
  <c r="R18" i="7"/>
  <c r="P31" i="6"/>
  <c r="R8" i="2"/>
  <c r="Q9" i="2"/>
  <c r="S25" i="5"/>
  <c r="R5" i="4"/>
  <c r="R20" i="8"/>
  <c r="T20" i="8" s="1"/>
  <c r="P34" i="6"/>
  <c r="R22" i="5"/>
  <c r="R32" i="6"/>
  <c r="Q27" i="6"/>
  <c r="Q20" i="6"/>
  <c r="O20" i="8"/>
  <c r="AB189" i="3" l="1" a="1"/>
  <c r="AB189" i="3" s="1"/>
  <c r="AB190" i="3" s="1"/>
  <c r="AC187" i="3" s="1"/>
  <c r="AC188" i="3" s="1"/>
  <c r="AX377" i="3"/>
  <c r="H29" i="8"/>
  <c r="G29" i="8"/>
  <c r="AX375" i="3"/>
  <c r="AX383" i="3" s="1"/>
  <c r="BH465" i="3"/>
  <c r="BH473" i="3" s="1"/>
  <c r="BH468" i="3" a="1"/>
  <c r="BH468" i="3" s="1"/>
  <c r="BH469" i="3" s="1"/>
  <c r="BI466" i="3" s="1"/>
  <c r="BI468" i="3" s="1" a="1"/>
  <c r="BI468" i="3" s="1"/>
  <c r="AJ261" i="3" a="1"/>
  <c r="AJ261" i="3" s="1"/>
  <c r="AJ260" i="3"/>
  <c r="AF225" i="3" a="1"/>
  <c r="AF225" i="3" s="1"/>
  <c r="N51" i="3"/>
  <c r="N59" i="3" s="1"/>
  <c r="N53" i="3"/>
  <c r="N55" i="3" s="1"/>
  <c r="O52" i="3" s="1"/>
  <c r="O54" i="3" s="1" a="1"/>
  <c r="O54" i="3" s="1"/>
  <c r="M56" i="3"/>
  <c r="AY397" i="3"/>
  <c r="AZ394" i="3" s="1"/>
  <c r="AZ396" i="3" s="1" a="1"/>
  <c r="AZ396" i="3" s="1"/>
  <c r="AF224" i="3"/>
  <c r="G7" i="3"/>
  <c r="G9" i="3" s="1" a="1"/>
  <c r="G9" i="3" s="1"/>
  <c r="O60" i="3"/>
  <c r="O68" i="3" s="1"/>
  <c r="O63" i="3" a="1"/>
  <c r="O63" i="3" s="1"/>
  <c r="O64" i="3" s="1"/>
  <c r="P61" i="3" s="1"/>
  <c r="N65" i="3"/>
  <c r="T117" i="3" a="1"/>
  <c r="T117" i="3" s="1"/>
  <c r="T118" i="3" s="1"/>
  <c r="U115" i="3" s="1"/>
  <c r="T114" i="3"/>
  <c r="T122" i="3" s="1"/>
  <c r="AD195" i="3"/>
  <c r="AD203" i="3" s="1"/>
  <c r="AD197" i="3"/>
  <c r="AD199" i="3" s="1"/>
  <c r="AE196" i="3" s="1"/>
  <c r="AE198" i="3" s="1" a="1"/>
  <c r="AE198" i="3" s="1"/>
  <c r="AT341" i="3"/>
  <c r="AT342" i="3" a="1"/>
  <c r="AT342" i="3" s="1"/>
  <c r="BD441" i="3" a="1"/>
  <c r="BD441" i="3" s="1"/>
  <c r="BH478" i="3"/>
  <c r="BI475" i="3" s="1"/>
  <c r="BI477" i="3" s="1" a="1"/>
  <c r="BI477" i="3" s="1"/>
  <c r="AQ324" i="3" a="1"/>
  <c r="AQ324" i="3" s="1"/>
  <c r="BF459" i="3" a="1"/>
  <c r="BF459" i="3" s="1"/>
  <c r="BF460" i="3" s="1"/>
  <c r="BG457" i="3" s="1"/>
  <c r="BF456" i="3"/>
  <c r="BF464" i="3" s="1"/>
  <c r="AQ323" i="3"/>
  <c r="AE213" i="3"/>
  <c r="AE221" i="3" s="1"/>
  <c r="BD440" i="3"/>
  <c r="S109" i="3"/>
  <c r="T106" i="3" s="1"/>
  <c r="T107" i="3" s="1"/>
  <c r="BK503" i="3"/>
  <c r="BK505" i="3" s="1"/>
  <c r="BK501" i="3"/>
  <c r="BK509" i="3" s="1"/>
  <c r="R17" i="7"/>
  <c r="S28" i="5"/>
  <c r="AA181" i="3"/>
  <c r="AB178" i="3" s="1"/>
  <c r="AB179" i="3" s="1"/>
  <c r="M14" i="2"/>
  <c r="M15" i="2" s="1"/>
  <c r="M21" i="2" s="1"/>
  <c r="AA168" i="3"/>
  <c r="AA176" i="3" s="1"/>
  <c r="AE216" i="3" a="1"/>
  <c r="AE216" i="3" s="1"/>
  <c r="AE217" i="3" s="1"/>
  <c r="AF214" i="3" s="1"/>
  <c r="Q91" i="3"/>
  <c r="R88" i="3" s="1"/>
  <c r="R90" i="3" s="1" a="1"/>
  <c r="R90" i="3" s="1"/>
  <c r="R17" i="4"/>
  <c r="R28" i="6" s="1"/>
  <c r="R13" i="6"/>
  <c r="R6" i="4"/>
  <c r="R21" i="6" s="1"/>
  <c r="S19" i="2"/>
  <c r="V6" i="2"/>
  <c r="V13" i="2" s="1"/>
  <c r="AR330" i="3"/>
  <c r="AR338" i="3" s="1"/>
  <c r="AG233" i="3"/>
  <c r="AG234" i="3" a="1"/>
  <c r="AG234" i="3" s="1"/>
  <c r="AL267" i="3"/>
  <c r="AL275" i="3" s="1"/>
  <c r="AX379" i="3"/>
  <c r="AY376" i="3" s="1"/>
  <c r="AY377" i="3" s="1"/>
  <c r="AA171" i="3" a="1"/>
  <c r="AA171" i="3" s="1"/>
  <c r="AA172" i="3" s="1"/>
  <c r="AB169" i="3" s="1"/>
  <c r="AR332" i="3"/>
  <c r="AR334" i="3" s="1"/>
  <c r="AS331" i="3" s="1"/>
  <c r="AD208" i="3"/>
  <c r="AE205" i="3" s="1"/>
  <c r="AE204" i="3" s="1"/>
  <c r="AE212" i="3" s="1"/>
  <c r="AJ249" i="3"/>
  <c r="AJ257" i="3" s="1"/>
  <c r="AN287" i="3"/>
  <c r="AN289" i="3" s="1"/>
  <c r="AO286" i="3" s="1"/>
  <c r="K75" i="3"/>
  <c r="L74" i="3"/>
  <c r="M74" i="3" s="1"/>
  <c r="N74" i="3" s="1"/>
  <c r="O74" i="3" s="1"/>
  <c r="AN285" i="3"/>
  <c r="AN293" i="3" s="1"/>
  <c r="I19" i="3"/>
  <c r="J16" i="3" s="1"/>
  <c r="J15" i="3" s="1"/>
  <c r="J23" i="3" s="1"/>
  <c r="L50" i="3"/>
  <c r="L47" i="3"/>
  <c r="L48" i="3" s="1"/>
  <c r="K38" i="3"/>
  <c r="K39" i="3" s="1"/>
  <c r="I23" i="3"/>
  <c r="I20" i="3"/>
  <c r="K37" i="3"/>
  <c r="L34" i="3" s="1"/>
  <c r="L33" i="3" s="1"/>
  <c r="BA415" i="3"/>
  <c r="BB412" i="3" s="1"/>
  <c r="BB413" i="3" s="1"/>
  <c r="AL279" i="3" a="1"/>
  <c r="AL279" i="3" s="1"/>
  <c r="AL280" i="3" s="1"/>
  <c r="AM277" i="3" s="1"/>
  <c r="AL276" i="3"/>
  <c r="AL284" i="3" s="1"/>
  <c r="AY384" i="3"/>
  <c r="AY392" i="3" s="1"/>
  <c r="AY386" i="3"/>
  <c r="AY388" i="3" s="1"/>
  <c r="AZ385" i="3" s="1"/>
  <c r="R99" i="3" a="1"/>
  <c r="R99" i="3" s="1"/>
  <c r="R98" i="3"/>
  <c r="Y163" i="3"/>
  <c r="Z160" i="3" s="1"/>
  <c r="Z161" i="3" s="1"/>
  <c r="AJ251" i="3"/>
  <c r="AJ252" i="3" a="1"/>
  <c r="AJ252" i="3" s="1"/>
  <c r="AL269" i="3"/>
  <c r="AO307" i="3"/>
  <c r="AP304" i="3" s="1"/>
  <c r="AP303" i="3" s="1"/>
  <c r="AP311" i="3" s="1"/>
  <c r="I30" i="3"/>
  <c r="AL270" i="3" a="1"/>
  <c r="AL270" i="3" s="1"/>
  <c r="I28" i="3"/>
  <c r="O73" i="3"/>
  <c r="P70" i="3" s="1"/>
  <c r="BB424" i="3"/>
  <c r="BC421" i="3" s="1"/>
  <c r="BK492" i="3"/>
  <c r="BK500" i="3" s="1"/>
  <c r="BK494" i="3"/>
  <c r="BK495" i="3" a="1"/>
  <c r="BK495" i="3" s="1"/>
  <c r="AT350" i="3"/>
  <c r="AT351" i="3" a="1"/>
  <c r="AT351" i="3" s="1"/>
  <c r="AT348" i="3"/>
  <c r="AT356" i="3" s="1"/>
  <c r="Z153" i="3" a="1"/>
  <c r="Z153" i="3" s="1"/>
  <c r="Z150" i="3"/>
  <c r="Z152" i="3"/>
  <c r="BI483" i="3"/>
  <c r="BI491" i="3" s="1"/>
  <c r="BI486" i="3" a="1"/>
  <c r="BI486" i="3" s="1"/>
  <c r="BI485" i="3"/>
  <c r="AN298" i="3"/>
  <c r="AO295" i="3" s="1"/>
  <c r="AU359" i="3"/>
  <c r="AU360" i="3" a="1"/>
  <c r="AU360" i="3" s="1"/>
  <c r="AU357" i="3"/>
  <c r="AU365" i="3" s="1"/>
  <c r="U127" i="3"/>
  <c r="V124" i="3" s="1"/>
  <c r="BC433" i="3"/>
  <c r="BD430" i="3" s="1"/>
  <c r="Y143" i="3"/>
  <c r="Y144" i="3" a="1"/>
  <c r="Y144" i="3" s="1"/>
  <c r="Y141" i="3"/>
  <c r="V132" i="3"/>
  <c r="V140" i="3" s="1"/>
  <c r="V135" i="3" a="1"/>
  <c r="V135" i="3" s="1"/>
  <c r="V134" i="3"/>
  <c r="M45" i="3" a="1"/>
  <c r="M45" i="3" s="1"/>
  <c r="M42" i="3"/>
  <c r="M50" i="3" s="1"/>
  <c r="M44" i="3"/>
  <c r="AP312" i="3"/>
  <c r="AP320" i="3" s="1"/>
  <c r="AP314" i="3"/>
  <c r="AP315" i="3" a="1"/>
  <c r="AP315" i="3" s="1"/>
  <c r="K76" i="3"/>
  <c r="AV370" i="3"/>
  <c r="AW367" i="3" s="1"/>
  <c r="BA402" i="3"/>
  <c r="BA410" i="3" s="1"/>
  <c r="BA405" i="3" a="1"/>
  <c r="BA405" i="3" s="1"/>
  <c r="BA404" i="3"/>
  <c r="AI240" i="3"/>
  <c r="AI248" i="3" s="1"/>
  <c r="AI242" i="3"/>
  <c r="AI243" i="3" a="1"/>
  <c r="AI243" i="3" s="1"/>
  <c r="Q78" i="3"/>
  <c r="Q86" i="3" s="1"/>
  <c r="Q80" i="3"/>
  <c r="Q81" i="3" a="1"/>
  <c r="Q81" i="3" s="1"/>
  <c r="BE447" i="3"/>
  <c r="BE455" i="3" s="1"/>
  <c r="BE449" i="3"/>
  <c r="BE450" i="3" a="1"/>
  <c r="BE450" i="3" s="1"/>
  <c r="F3" i="3"/>
  <c r="M22" i="2" s="1"/>
  <c r="M14" i="6" s="1"/>
  <c r="L83" i="3" a="1"/>
  <c r="L83" i="3" s="1"/>
  <c r="L57" i="3"/>
  <c r="L58" i="3"/>
  <c r="L59" i="3" s="1"/>
  <c r="L66" i="3"/>
  <c r="L67" i="3"/>
  <c r="S16" i="4"/>
  <c r="S18" i="4"/>
  <c r="S29" i="6" s="1"/>
  <c r="AE7" i="2"/>
  <c r="I13" i="7"/>
  <c r="R29" i="8" s="1"/>
  <c r="R9" i="2"/>
  <c r="T5" i="2"/>
  <c r="T29" i="5"/>
  <c r="S18" i="7"/>
  <c r="R27" i="4"/>
  <c r="R34" i="6" s="1"/>
  <c r="R15" i="7"/>
  <c r="S28" i="4"/>
  <c r="S35" i="6" s="1"/>
  <c r="S16" i="7"/>
  <c r="K31" i="6"/>
  <c r="S8" i="2"/>
  <c r="T25" i="5"/>
  <c r="S5" i="4"/>
  <c r="S32" i="6"/>
  <c r="Q21" i="6"/>
  <c r="Q28" i="6"/>
  <c r="Q31" i="6" s="1"/>
  <c r="R20" i="6"/>
  <c r="R27" i="6"/>
  <c r="S22" i="5"/>
  <c r="S20" i="8"/>
  <c r="AC186" i="3" l="1"/>
  <c r="AC194" i="3" s="1"/>
  <c r="AC189" i="3" a="1"/>
  <c r="AC189" i="3" s="1"/>
  <c r="BI467" i="3"/>
  <c r="BI469" i="3" s="1"/>
  <c r="BJ466" i="3" s="1"/>
  <c r="BJ468" i="3" s="1" a="1"/>
  <c r="BJ468" i="3" s="1"/>
  <c r="S29" i="8"/>
  <c r="T29" i="8"/>
  <c r="BI465" i="3"/>
  <c r="BJ465" i="3" s="1"/>
  <c r="BJ473" i="3" s="1"/>
  <c r="AJ262" i="3"/>
  <c r="AK259" i="3" s="1"/>
  <c r="AK260" i="3" s="1"/>
  <c r="AF226" i="3"/>
  <c r="AG223" i="3" s="1"/>
  <c r="AG224" i="3" s="1"/>
  <c r="O51" i="3"/>
  <c r="N56" i="3"/>
  <c r="O53" i="3"/>
  <c r="O55" i="3" s="1"/>
  <c r="P52" i="3" s="1"/>
  <c r="G8" i="3"/>
  <c r="G10" i="3" s="1"/>
  <c r="H7" i="3" s="1"/>
  <c r="H8" i="3" s="1"/>
  <c r="AZ393" i="3"/>
  <c r="AZ401" i="3" s="1"/>
  <c r="AZ395" i="3"/>
  <c r="AZ397" i="3" s="1"/>
  <c r="BA394" i="3" s="1"/>
  <c r="BA396" i="3" s="1" a="1"/>
  <c r="BA396" i="3" s="1"/>
  <c r="G6" i="3"/>
  <c r="G11" i="3" s="1"/>
  <c r="G5" i="3" s="1"/>
  <c r="AT343" i="3"/>
  <c r="AU340" i="3" s="1"/>
  <c r="AU339" i="3" s="1"/>
  <c r="O65" i="3"/>
  <c r="BD442" i="3"/>
  <c r="BE439" i="3" s="1"/>
  <c r="BE440" i="3" s="1"/>
  <c r="AQ325" i="3"/>
  <c r="AR322" i="3" s="1"/>
  <c r="AR324" i="3" s="1" a="1"/>
  <c r="AR324" i="3" s="1"/>
  <c r="BI474" i="3"/>
  <c r="BI482" i="3" s="1"/>
  <c r="BJ467" i="3"/>
  <c r="BJ469" i="3" s="1"/>
  <c r="BK466" i="3" s="1"/>
  <c r="BK468" i="3" s="1" a="1"/>
  <c r="BK468" i="3" s="1"/>
  <c r="BI476" i="3"/>
  <c r="BI478" i="3" s="1"/>
  <c r="BJ475" i="3" s="1"/>
  <c r="R89" i="3"/>
  <c r="R91" i="3" s="1"/>
  <c r="S88" i="3" s="1"/>
  <c r="S89" i="3" s="1"/>
  <c r="T108" i="3" a="1"/>
  <c r="T108" i="3" s="1"/>
  <c r="T109" i="3" s="1"/>
  <c r="U106" i="3" s="1"/>
  <c r="T105" i="3"/>
  <c r="T113" i="3" s="1"/>
  <c r="R87" i="3"/>
  <c r="R95" i="3" s="1"/>
  <c r="BI487" i="3"/>
  <c r="BJ484" i="3" s="1"/>
  <c r="BJ483" i="3" s="1"/>
  <c r="BJ491" i="3" s="1"/>
  <c r="AE197" i="3"/>
  <c r="AE199" i="3" s="1"/>
  <c r="AF196" i="3" s="1"/>
  <c r="AE195" i="3"/>
  <c r="BA406" i="3"/>
  <c r="BB403" i="3" s="1"/>
  <c r="BB402" i="3" s="1"/>
  <c r="AB177" i="3"/>
  <c r="AB185" i="3" s="1"/>
  <c r="S17" i="7"/>
  <c r="T28" i="5"/>
  <c r="BB411" i="3"/>
  <c r="BB419" i="3" s="1"/>
  <c r="BB414" i="3" a="1"/>
  <c r="BB414" i="3" s="1"/>
  <c r="BB415" i="3" s="1"/>
  <c r="BC412" i="3" s="1"/>
  <c r="AB180" i="3" a="1"/>
  <c r="AB180" i="3" s="1"/>
  <c r="AB181" i="3" s="1"/>
  <c r="AC178" i="3" s="1"/>
  <c r="M16" i="2"/>
  <c r="L76" i="3"/>
  <c r="AY375" i="3"/>
  <c r="AY378" i="3" a="1"/>
  <c r="AY378" i="3" s="1"/>
  <c r="AY379" i="3" s="1"/>
  <c r="AZ376" i="3" s="1"/>
  <c r="AG235" i="3"/>
  <c r="AH232" i="3" s="1"/>
  <c r="AH231" i="3" s="1"/>
  <c r="AH239" i="3" s="1"/>
  <c r="T19" i="2"/>
  <c r="W6" i="2"/>
  <c r="W13" i="2" s="1"/>
  <c r="S17" i="4"/>
  <c r="S28" i="6" s="1"/>
  <c r="S13" i="6"/>
  <c r="S6" i="4"/>
  <c r="S21" i="6" s="1"/>
  <c r="AE206" i="3"/>
  <c r="AE207" i="3" a="1"/>
  <c r="AE207" i="3" s="1"/>
  <c r="L49" i="3"/>
  <c r="AJ253" i="3"/>
  <c r="AK250" i="3" s="1"/>
  <c r="AK252" i="3" s="1" a="1"/>
  <c r="AK252" i="3" s="1"/>
  <c r="AP306" i="3" a="1"/>
  <c r="AP306" i="3" s="1"/>
  <c r="R100" i="3"/>
  <c r="S97" i="3" s="1"/>
  <c r="S96" i="3" s="1"/>
  <c r="S104" i="3" s="1"/>
  <c r="L75" i="3"/>
  <c r="L35" i="3"/>
  <c r="L36" i="3" a="1"/>
  <c r="L36" i="3" s="1"/>
  <c r="AL271" i="3"/>
  <c r="AM268" i="3" s="1"/>
  <c r="AM270" i="3" s="1" a="1"/>
  <c r="AM270" i="3" s="1"/>
  <c r="AP305" i="3"/>
  <c r="V136" i="3"/>
  <c r="W133" i="3" s="1"/>
  <c r="W134" i="3" s="1"/>
  <c r="L85" i="3"/>
  <c r="M83" i="3"/>
  <c r="N83" i="3" s="1"/>
  <c r="O83" i="3" s="1"/>
  <c r="P83" i="3" s="1"/>
  <c r="Q83" i="3" s="1"/>
  <c r="J18" i="3" a="1"/>
  <c r="J18" i="3" s="1"/>
  <c r="J17" i="3"/>
  <c r="J20" i="3"/>
  <c r="I21" i="3"/>
  <c r="I22" i="3"/>
  <c r="L38" i="3"/>
  <c r="M47" i="3"/>
  <c r="K40" i="3"/>
  <c r="Z159" i="3"/>
  <c r="Z167" i="3" s="1"/>
  <c r="L41" i="3"/>
  <c r="AP316" i="3"/>
  <c r="AQ313" i="3" s="1"/>
  <c r="AQ315" i="3" s="1" a="1"/>
  <c r="AQ315" i="3" s="1"/>
  <c r="Z162" i="3" a="1"/>
  <c r="Z162" i="3" s="1"/>
  <c r="Z163" i="3" s="1"/>
  <c r="AA160" i="3" s="1"/>
  <c r="L84" i="3"/>
  <c r="I31" i="3"/>
  <c r="I32" i="3" s="1"/>
  <c r="J25" i="3"/>
  <c r="M46" i="3"/>
  <c r="N43" i="3" s="1"/>
  <c r="N42" i="3" s="1"/>
  <c r="BE451" i="3"/>
  <c r="BF448" i="3" s="1"/>
  <c r="AB171" i="3" a="1"/>
  <c r="AB171" i="3" s="1"/>
  <c r="AB168" i="3"/>
  <c r="AB170" i="3"/>
  <c r="BD431" i="3"/>
  <c r="BD432" i="3" a="1"/>
  <c r="BD432" i="3" s="1"/>
  <c r="BD429" i="3"/>
  <c r="BD437" i="3" s="1"/>
  <c r="AC190" i="3"/>
  <c r="AD187" i="3" s="1"/>
  <c r="U114" i="3"/>
  <c r="U122" i="3" s="1"/>
  <c r="U116" i="3"/>
  <c r="U117" i="3" a="1"/>
  <c r="U117" i="3" s="1"/>
  <c r="V126" i="3" a="1"/>
  <c r="V126" i="3" s="1"/>
  <c r="V123" i="3"/>
  <c r="V131" i="3" s="1"/>
  <c r="V125" i="3"/>
  <c r="P62" i="3"/>
  <c r="P63" i="3" a="1"/>
  <c r="P63" i="3" s="1"/>
  <c r="P60" i="3"/>
  <c r="BG456" i="3"/>
  <c r="BG464" i="3" s="1"/>
  <c r="BG459" i="3" a="1"/>
  <c r="BG459" i="3" s="1"/>
  <c r="BG458" i="3"/>
  <c r="AO297" i="3" a="1"/>
  <c r="AO297" i="3" s="1"/>
  <c r="AO294" i="3"/>
  <c r="AO302" i="3" s="1"/>
  <c r="AO296" i="3"/>
  <c r="AW369" i="3" a="1"/>
  <c r="AW369" i="3" s="1"/>
  <c r="AW368" i="3"/>
  <c r="AW366" i="3"/>
  <c r="AW374" i="3" s="1"/>
  <c r="AS330" i="3"/>
  <c r="AS338" i="3" s="1"/>
  <c r="AS332" i="3"/>
  <c r="AS333" i="3" a="1"/>
  <c r="AS333" i="3" s="1"/>
  <c r="AO287" i="3"/>
  <c r="AO288" i="3" a="1"/>
  <c r="AO288" i="3" s="1"/>
  <c r="AO285" i="3"/>
  <c r="AM276" i="3"/>
  <c r="AM284" i="3" s="1"/>
  <c r="AM278" i="3"/>
  <c r="AM279" i="3" a="1"/>
  <c r="AM279" i="3" s="1"/>
  <c r="AT352" i="3"/>
  <c r="AU349" i="3" s="1"/>
  <c r="AZ386" i="3"/>
  <c r="AZ387" i="3" a="1"/>
  <c r="AZ387" i="3" s="1"/>
  <c r="AZ384" i="3"/>
  <c r="AU361" i="3"/>
  <c r="AV358" i="3" s="1"/>
  <c r="AF215" i="3"/>
  <c r="AF216" i="3" a="1"/>
  <c r="AF216" i="3" s="1"/>
  <c r="AF213" i="3"/>
  <c r="AF221" i="3" s="1"/>
  <c r="BC423" i="3" a="1"/>
  <c r="BC423" i="3" s="1"/>
  <c r="BC422" i="3"/>
  <c r="BC420" i="3"/>
  <c r="BC428" i="3" s="1"/>
  <c r="Q82" i="3"/>
  <c r="R79" i="3" s="1"/>
  <c r="AI244" i="3"/>
  <c r="AJ241" i="3" s="1"/>
  <c r="Y145" i="3"/>
  <c r="Z142" i="3" s="1"/>
  <c r="Z154" i="3"/>
  <c r="AA151" i="3" s="1"/>
  <c r="BK496" i="3"/>
  <c r="P71" i="3"/>
  <c r="P69" i="3"/>
  <c r="P77" i="3" s="1"/>
  <c r="P72" i="3" a="1"/>
  <c r="P72" i="3" s="1"/>
  <c r="M92" i="3" a="1"/>
  <c r="M92" i="3" s="1"/>
  <c r="N92" i="3" s="1"/>
  <c r="O92" i="3" s="1"/>
  <c r="P92" i="3" s="1"/>
  <c r="Q92" i="3" s="1"/>
  <c r="M67" i="3"/>
  <c r="M68" i="3" s="1"/>
  <c r="M66" i="3"/>
  <c r="M57" i="3"/>
  <c r="M58" i="3"/>
  <c r="M76" i="3"/>
  <c r="M75" i="3"/>
  <c r="T16" i="4"/>
  <c r="T18" i="4"/>
  <c r="T29" i="6" s="1"/>
  <c r="AF7" i="2"/>
  <c r="E13" i="2"/>
  <c r="U5" i="2"/>
  <c r="T28" i="4"/>
  <c r="T35" i="6" s="1"/>
  <c r="T16" i="7"/>
  <c r="S27" i="4"/>
  <c r="S34" i="6" s="1"/>
  <c r="S15" i="7"/>
  <c r="U29" i="5"/>
  <c r="T18" i="7"/>
  <c r="R31" i="6"/>
  <c r="T8" i="2"/>
  <c r="S9" i="2"/>
  <c r="U25" i="5"/>
  <c r="U16" i="7" s="1"/>
  <c r="T5" i="4"/>
  <c r="T32" i="6"/>
  <c r="T22" i="5"/>
  <c r="S20" i="6"/>
  <c r="S27" i="6"/>
  <c r="E6" i="2"/>
  <c r="AG222" i="3" l="1"/>
  <c r="AG230" i="3" s="1"/>
  <c r="AR8" i="1"/>
  <c r="D7" i="8"/>
  <c r="O56" i="3"/>
  <c r="AK258" i="3"/>
  <c r="AK266" i="3" s="1"/>
  <c r="AK261" i="3" a="1"/>
  <c r="AK261" i="3" s="1"/>
  <c r="AK262" i="3" s="1"/>
  <c r="AL259" i="3" s="1"/>
  <c r="AG225" i="3" a="1"/>
  <c r="AG225" i="3" s="1"/>
  <c r="AG226" i="3" s="1"/>
  <c r="AH223" i="3" s="1"/>
  <c r="AH225" i="3" s="1" a="1"/>
  <c r="AH225" i="3" s="1"/>
  <c r="BA395" i="3"/>
  <c r="BA397" i="3" s="1"/>
  <c r="BB394" i="3" s="1"/>
  <c r="BB396" i="3" s="1" a="1"/>
  <c r="BB396" i="3" s="1"/>
  <c r="G12" i="3"/>
  <c r="G2" i="3" s="1"/>
  <c r="P53" i="3"/>
  <c r="P54" i="3" a="1"/>
  <c r="P54" i="3" s="1"/>
  <c r="P51" i="3"/>
  <c r="P59" i="3" s="1"/>
  <c r="BA393" i="3"/>
  <c r="AU342" i="3" a="1"/>
  <c r="AU342" i="3" s="1"/>
  <c r="P65" i="3"/>
  <c r="H6" i="3"/>
  <c r="H11" i="3" s="1"/>
  <c r="H5" i="3" s="1"/>
  <c r="H9" i="3" a="1"/>
  <c r="H9" i="3" s="1"/>
  <c r="H10" i="3" s="1"/>
  <c r="I7" i="3" s="1"/>
  <c r="G13" i="3"/>
  <c r="G14" i="3" s="1"/>
  <c r="G4" i="3" s="1"/>
  <c r="N14" i="2" s="1"/>
  <c r="N15" i="2" s="1"/>
  <c r="N21" i="2" s="1"/>
  <c r="BE438" i="3"/>
  <c r="BE446" i="3" s="1"/>
  <c r="AU341" i="3"/>
  <c r="BE441" i="3" a="1"/>
  <c r="BE441" i="3" s="1"/>
  <c r="BE442" i="3" s="1"/>
  <c r="BF439" i="3" s="1"/>
  <c r="BF440" i="3" s="1"/>
  <c r="AR321" i="3"/>
  <c r="AR329" i="3" s="1"/>
  <c r="AR323" i="3"/>
  <c r="AR325" i="3" s="1"/>
  <c r="AS322" i="3" s="1"/>
  <c r="BJ474" i="3"/>
  <c r="BJ476" i="3"/>
  <c r="BJ477" i="3" a="1"/>
  <c r="BJ477" i="3" s="1"/>
  <c r="BK465" i="3"/>
  <c r="BK473" i="3" s="1"/>
  <c r="R92" i="3"/>
  <c r="U105" i="3"/>
  <c r="U107" i="3"/>
  <c r="U108" i="3" a="1"/>
  <c r="U108" i="3" s="1"/>
  <c r="BB405" i="3" a="1"/>
  <c r="BB405" i="3" s="1"/>
  <c r="AH233" i="3"/>
  <c r="AH234" i="3" a="1"/>
  <c r="AH234" i="3" s="1"/>
  <c r="BK467" i="3"/>
  <c r="BK469" i="3" s="1"/>
  <c r="BJ485" i="3"/>
  <c r="BJ486" i="3" a="1"/>
  <c r="BJ486" i="3" s="1"/>
  <c r="AF197" i="3"/>
  <c r="AF198" i="3" a="1"/>
  <c r="AF198" i="3" s="1"/>
  <c r="BB404" i="3"/>
  <c r="AF195" i="3"/>
  <c r="AF203" i="3" s="1"/>
  <c r="AQ314" i="3"/>
  <c r="AQ316" i="3" s="1"/>
  <c r="AR313" i="3" s="1"/>
  <c r="AC177" i="3"/>
  <c r="AC180" i="3" a="1"/>
  <c r="AC180" i="3" s="1"/>
  <c r="AC179" i="3"/>
  <c r="W132" i="3"/>
  <c r="W140" i="3" s="1"/>
  <c r="W135" i="3" a="1"/>
  <c r="W135" i="3" s="1"/>
  <c r="W136" i="3" s="1"/>
  <c r="X133" i="3" s="1"/>
  <c r="T17" i="7"/>
  <c r="U28" i="5"/>
  <c r="S99" i="3" a="1"/>
  <c r="S99" i="3" s="1"/>
  <c r="AE208" i="3"/>
  <c r="AF205" i="3" s="1"/>
  <c r="AF204" i="3" s="1"/>
  <c r="S98" i="3"/>
  <c r="P73" i="3"/>
  <c r="Q70" i="3" s="1"/>
  <c r="Q69" i="3" s="1"/>
  <c r="AK249" i="3"/>
  <c r="U19" i="2"/>
  <c r="X6" i="2"/>
  <c r="X13" i="2" s="1"/>
  <c r="T13" i="6"/>
  <c r="T17" i="4"/>
  <c r="T28" i="6" s="1"/>
  <c r="T6" i="4"/>
  <c r="T21" i="6" s="1"/>
  <c r="AK251" i="3"/>
  <c r="AK253" i="3" s="1"/>
  <c r="AL250" i="3" s="1"/>
  <c r="AL251" i="3" s="1"/>
  <c r="AP307" i="3"/>
  <c r="AQ304" i="3" s="1"/>
  <c r="AQ305" i="3" s="1"/>
  <c r="L37" i="3"/>
  <c r="M34" i="3" s="1"/>
  <c r="AM267" i="3"/>
  <c r="AM269" i="3"/>
  <c r="AM271" i="3" s="1"/>
  <c r="AN268" i="3" s="1"/>
  <c r="M85" i="3"/>
  <c r="M84" i="3"/>
  <c r="P74" i="3"/>
  <c r="N47" i="3"/>
  <c r="J19" i="3"/>
  <c r="K16" i="3" s="1"/>
  <c r="M48" i="3"/>
  <c r="J21" i="3"/>
  <c r="BC424" i="3"/>
  <c r="BD421" i="3" s="1"/>
  <c r="BD420" i="3" s="1"/>
  <c r="AQ312" i="3"/>
  <c r="AQ320" i="3" s="1"/>
  <c r="BG460" i="3"/>
  <c r="BH457" i="3" s="1"/>
  <c r="BH459" i="3" s="1" a="1"/>
  <c r="BH459" i="3" s="1"/>
  <c r="M49" i="3"/>
  <c r="V127" i="3"/>
  <c r="W124" i="3" s="1"/>
  <c r="W126" i="3" s="1" a="1"/>
  <c r="W126" i="3" s="1"/>
  <c r="L39" i="3"/>
  <c r="S90" i="3" a="1"/>
  <c r="S90" i="3" s="1"/>
  <c r="S91" i="3" s="1"/>
  <c r="T88" i="3" s="1"/>
  <c r="M93" i="3"/>
  <c r="AO289" i="3"/>
  <c r="AP286" i="3" s="1"/>
  <c r="AP288" i="3" s="1" a="1"/>
  <c r="AP288" i="3" s="1"/>
  <c r="AO298" i="3"/>
  <c r="AP295" i="3" s="1"/>
  <c r="AP297" i="3" s="1" a="1"/>
  <c r="AP297" i="3" s="1"/>
  <c r="N44" i="3"/>
  <c r="J26" i="3"/>
  <c r="J24" i="3"/>
  <c r="J29" i="3" s="1"/>
  <c r="J27" i="3" a="1"/>
  <c r="J27" i="3" s="1"/>
  <c r="M94" i="3"/>
  <c r="N45" i="3" a="1"/>
  <c r="N45" i="3" s="1"/>
  <c r="S87" i="3"/>
  <c r="AU350" i="3"/>
  <c r="AU351" i="3" a="1"/>
  <c r="AU351" i="3" s="1"/>
  <c r="AU348" i="3"/>
  <c r="AU356" i="3" s="1"/>
  <c r="AJ240" i="3"/>
  <c r="AJ242" i="3"/>
  <c r="AJ243" i="3" a="1"/>
  <c r="AJ243" i="3" s="1"/>
  <c r="AZ377" i="3"/>
  <c r="AZ375" i="3"/>
  <c r="AZ383" i="3" s="1"/>
  <c r="AZ378" i="3" a="1"/>
  <c r="AZ378" i="3" s="1"/>
  <c r="AD186" i="3"/>
  <c r="AD189" i="3" a="1"/>
  <c r="AD189" i="3" s="1"/>
  <c r="AD188" i="3"/>
  <c r="R78" i="3"/>
  <c r="R83" i="3" s="1"/>
  <c r="R80" i="3"/>
  <c r="R81" i="3" a="1"/>
  <c r="R81" i="3" s="1"/>
  <c r="U118" i="3"/>
  <c r="V115" i="3" s="1"/>
  <c r="AA150" i="3"/>
  <c r="AA158" i="3" s="1"/>
  <c r="AA152" i="3"/>
  <c r="AA153" i="3" a="1"/>
  <c r="AA153" i="3" s="1"/>
  <c r="AA162" i="3" a="1"/>
  <c r="AA162" i="3" s="1"/>
  <c r="AA161" i="3"/>
  <c r="AA159" i="3"/>
  <c r="AF217" i="3"/>
  <c r="AG214" i="3" s="1"/>
  <c r="AM280" i="3"/>
  <c r="AN277" i="3" s="1"/>
  <c r="AS334" i="3"/>
  <c r="AT331" i="3" s="1"/>
  <c r="Z141" i="3"/>
  <c r="Z149" i="3" s="1"/>
  <c r="Z144" i="3" a="1"/>
  <c r="Z144" i="3" s="1"/>
  <c r="Z143" i="3"/>
  <c r="AV357" i="3"/>
  <c r="AV365" i="3" s="1"/>
  <c r="AV360" i="3" a="1"/>
  <c r="AV360" i="3" s="1"/>
  <c r="AV359" i="3"/>
  <c r="AZ388" i="3"/>
  <c r="BA385" i="3" s="1"/>
  <c r="BD433" i="3"/>
  <c r="BE430" i="3" s="1"/>
  <c r="BF447" i="3"/>
  <c r="BF455" i="3" s="1"/>
  <c r="BF449" i="3"/>
  <c r="BF450" i="3" a="1"/>
  <c r="BF450" i="3" s="1"/>
  <c r="P64" i="3"/>
  <c r="Q61" i="3" s="1"/>
  <c r="AB172" i="3"/>
  <c r="AC169" i="3" s="1"/>
  <c r="BC411" i="3"/>
  <c r="BC413" i="3"/>
  <c r="BC414" i="3" a="1"/>
  <c r="BC414" i="3" s="1"/>
  <c r="AW370" i="3"/>
  <c r="AX367" i="3" s="1"/>
  <c r="N101" i="3" a="1"/>
  <c r="N101" i="3" s="1"/>
  <c r="N93" i="3"/>
  <c r="N94" i="3"/>
  <c r="N75" i="3"/>
  <c r="N76" i="3"/>
  <c r="N77" i="3" s="1"/>
  <c r="N66" i="3"/>
  <c r="N67" i="3"/>
  <c r="N84" i="3"/>
  <c r="N57" i="3"/>
  <c r="N58" i="3"/>
  <c r="U18" i="4"/>
  <c r="U29" i="6" s="1"/>
  <c r="U16" i="4"/>
  <c r="AG7" i="2"/>
  <c r="V5" i="2"/>
  <c r="V29" i="5"/>
  <c r="E29" i="5" s="1"/>
  <c r="U18" i="7"/>
  <c r="T27" i="4"/>
  <c r="T34" i="6" s="1"/>
  <c r="T15" i="7"/>
  <c r="S31" i="6"/>
  <c r="U28" i="4"/>
  <c r="U35" i="6" s="1"/>
  <c r="V25" i="5"/>
  <c r="E25" i="5" s="1"/>
  <c r="U8" i="2"/>
  <c r="T9" i="2"/>
  <c r="U5" i="4"/>
  <c r="T20" i="6"/>
  <c r="T27" i="6"/>
  <c r="U22" i="5"/>
  <c r="U15" i="7" s="1"/>
  <c r="U32" i="6"/>
  <c r="AH222" i="3" l="1"/>
  <c r="AH224" i="3"/>
  <c r="AH226" i="3" s="1"/>
  <c r="AI223" i="3" s="1"/>
  <c r="AL260" i="3"/>
  <c r="AL258" i="3"/>
  <c r="AL261" i="3" a="1"/>
  <c r="AL261" i="3" s="1"/>
  <c r="AL262" i="3" s="1"/>
  <c r="AM259" i="3" s="1"/>
  <c r="AM261" i="3" s="1" a="1"/>
  <c r="AM261" i="3" s="1"/>
  <c r="G3" i="3"/>
  <c r="N22" i="2" s="1"/>
  <c r="N14" i="6" s="1"/>
  <c r="P56" i="3"/>
  <c r="BB393" i="3"/>
  <c r="BB401" i="3" s="1"/>
  <c r="BB395" i="3"/>
  <c r="BB397" i="3" s="1"/>
  <c r="BC394" i="3" s="1"/>
  <c r="BC395" i="3" s="1"/>
  <c r="P55" i="3"/>
  <c r="Q52" i="3" s="1"/>
  <c r="H13" i="3"/>
  <c r="H3" i="3" s="1"/>
  <c r="O22" i="2" s="1"/>
  <c r="O14" i="6" s="1"/>
  <c r="H14" i="3"/>
  <c r="H4" i="3" s="1"/>
  <c r="H12" i="3"/>
  <c r="H2" i="3" s="1"/>
  <c r="AU343" i="3"/>
  <c r="AV340" i="3" s="1"/>
  <c r="AV342" i="3" s="1" a="1"/>
  <c r="AV342" i="3" s="1"/>
  <c r="AS321" i="3"/>
  <c r="AS324" i="3" a="1"/>
  <c r="AS324" i="3" s="1"/>
  <c r="AS323" i="3"/>
  <c r="BJ478" i="3"/>
  <c r="BK475" i="3" s="1"/>
  <c r="BK474" i="3" s="1"/>
  <c r="BK482" i="3" s="1"/>
  <c r="S92" i="3"/>
  <c r="U109" i="3"/>
  <c r="V106" i="3" s="1"/>
  <c r="V108" i="3" s="1" a="1"/>
  <c r="V108" i="3" s="1"/>
  <c r="BB406" i="3"/>
  <c r="BC403" i="3" s="1"/>
  <c r="BC404" i="3" s="1"/>
  <c r="AH235" i="3"/>
  <c r="AI232" i="3" s="1"/>
  <c r="AI234" i="3" s="1" a="1"/>
  <c r="AI234" i="3" s="1"/>
  <c r="Q72" i="3" a="1"/>
  <c r="Q72" i="3" s="1"/>
  <c r="AF199" i="3"/>
  <c r="AG196" i="3" s="1"/>
  <c r="AG198" i="3" s="1" a="1"/>
  <c r="AG198" i="3" s="1"/>
  <c r="BJ487" i="3"/>
  <c r="BK484" i="3" s="1"/>
  <c r="BK486" i="3" s="1" a="1"/>
  <c r="BK486" i="3" s="1"/>
  <c r="AF206" i="3"/>
  <c r="S100" i="3"/>
  <c r="T97" i="3" s="1"/>
  <c r="T99" i="3" s="1" a="1"/>
  <c r="T99" i="3" s="1"/>
  <c r="BF438" i="3"/>
  <c r="AC181" i="3"/>
  <c r="AD178" i="3" s="1"/>
  <c r="AD177" i="3" s="1"/>
  <c r="AD185" i="3" s="1"/>
  <c r="BD422" i="3"/>
  <c r="BD423" i="3" a="1"/>
  <c r="BD423" i="3" s="1"/>
  <c r="AF207" i="3" a="1"/>
  <c r="AF207" i="3" s="1"/>
  <c r="BF441" i="3" a="1"/>
  <c r="BF441" i="3" s="1"/>
  <c r="BF442" i="3" s="1"/>
  <c r="BG439" i="3" s="1"/>
  <c r="BH456" i="3"/>
  <c r="V28" i="5"/>
  <c r="E28" i="5" s="1"/>
  <c r="U17" i="7"/>
  <c r="BH458" i="3"/>
  <c r="BH460" i="3" s="1"/>
  <c r="BI457" i="3" s="1"/>
  <c r="AN267" i="3"/>
  <c r="AN275" i="3" s="1"/>
  <c r="N16" i="2"/>
  <c r="N15" i="6"/>
  <c r="Q71" i="3"/>
  <c r="U13" i="6"/>
  <c r="U17" i="4"/>
  <c r="U28" i="6" s="1"/>
  <c r="U6" i="4"/>
  <c r="U21" i="6" s="1"/>
  <c r="V19" i="2"/>
  <c r="Y6" i="2"/>
  <c r="Y13" i="2" s="1"/>
  <c r="W123" i="3"/>
  <c r="AI222" i="3"/>
  <c r="AI230" i="3" s="1"/>
  <c r="W125" i="3"/>
  <c r="W127" i="3" s="1"/>
  <c r="X124" i="3" s="1"/>
  <c r="X125" i="3" s="1"/>
  <c r="L40" i="3"/>
  <c r="AQ306" i="3" a="1"/>
  <c r="AQ306" i="3" s="1"/>
  <c r="AQ307" i="3" s="1"/>
  <c r="AR304" i="3" s="1"/>
  <c r="AQ303" i="3"/>
  <c r="J22" i="3"/>
  <c r="N102" i="3"/>
  <c r="O101" i="3"/>
  <c r="P101" i="3" s="1"/>
  <c r="Q101" i="3" s="1"/>
  <c r="R101" i="3" s="1"/>
  <c r="S101" i="3" s="1"/>
  <c r="AL249" i="3"/>
  <c r="AL257" i="3" s="1"/>
  <c r="BF451" i="3"/>
  <c r="BG448" i="3" s="1"/>
  <c r="BG450" i="3" s="1" a="1"/>
  <c r="BG450" i="3" s="1"/>
  <c r="AL252" i="3" a="1"/>
  <c r="AL252" i="3" s="1"/>
  <c r="AL253" i="3" s="1"/>
  <c r="AM250" i="3" s="1"/>
  <c r="AP285" i="3"/>
  <c r="AP293" i="3" s="1"/>
  <c r="AP287" i="3"/>
  <c r="AP289" i="3" s="1"/>
  <c r="AQ286" i="3" s="1"/>
  <c r="Q74" i="3"/>
  <c r="K17" i="3"/>
  <c r="K18" i="3" a="1"/>
  <c r="K18" i="3" s="1"/>
  <c r="K15" i="3"/>
  <c r="K20" i="3" s="1"/>
  <c r="N46" i="3"/>
  <c r="O43" i="3" s="1"/>
  <c r="O44" i="3" s="1"/>
  <c r="N85" i="3"/>
  <c r="AN270" i="3" a="1"/>
  <c r="AN270" i="3" s="1"/>
  <c r="BC415" i="3"/>
  <c r="BD412" i="3" s="1"/>
  <c r="BD413" i="3" s="1"/>
  <c r="AV361" i="3"/>
  <c r="AW358" i="3" s="1"/>
  <c r="AW359" i="3" s="1"/>
  <c r="AN269" i="3"/>
  <c r="J28" i="3"/>
  <c r="K25" i="3" s="1"/>
  <c r="K26" i="3" s="1"/>
  <c r="AI225" i="3" a="1"/>
  <c r="AI225" i="3" s="1"/>
  <c r="N48" i="3"/>
  <c r="T90" i="3" a="1"/>
  <c r="T90" i="3" s="1"/>
  <c r="T89" i="3"/>
  <c r="T87" i="3"/>
  <c r="T95" i="3" s="1"/>
  <c r="AI224" i="3"/>
  <c r="AP294" i="3"/>
  <c r="R82" i="3"/>
  <c r="S79" i="3" s="1"/>
  <c r="S80" i="3" s="1"/>
  <c r="AP296" i="3"/>
  <c r="AP298" i="3" s="1"/>
  <c r="AQ295" i="3" s="1"/>
  <c r="AQ296" i="3" s="1"/>
  <c r="M36" i="3" a="1"/>
  <c r="M36" i="3" s="1"/>
  <c r="M35" i="3"/>
  <c r="M33" i="3"/>
  <c r="M38" i="3" s="1"/>
  <c r="AA163" i="3"/>
  <c r="AB160" i="3" s="1"/>
  <c r="AB159" i="3" s="1"/>
  <c r="AB167" i="3" s="1"/>
  <c r="J32" i="3"/>
  <c r="N103" i="3"/>
  <c r="AU352" i="3"/>
  <c r="AV349" i="3" s="1"/>
  <c r="AV351" i="3" s="1" a="1"/>
  <c r="AV351" i="3" s="1"/>
  <c r="AA154" i="3"/>
  <c r="AB151" i="3" s="1"/>
  <c r="AB152" i="3" s="1"/>
  <c r="AD190" i="3"/>
  <c r="AE187" i="3" s="1"/>
  <c r="AE186" i="3" s="1"/>
  <c r="AE194" i="3" s="1"/>
  <c r="AR315" i="3" a="1"/>
  <c r="AR315" i="3" s="1"/>
  <c r="AR314" i="3"/>
  <c r="AR312" i="3"/>
  <c r="AT330" i="3"/>
  <c r="AT332" i="3"/>
  <c r="AT333" i="3" a="1"/>
  <c r="AT333" i="3" s="1"/>
  <c r="AX369" i="3" a="1"/>
  <c r="AX369" i="3" s="1"/>
  <c r="AX366" i="3"/>
  <c r="AX368" i="3"/>
  <c r="AN276" i="3"/>
  <c r="AN279" i="3" a="1"/>
  <c r="AN279" i="3" s="1"/>
  <c r="AN278" i="3"/>
  <c r="AG215" i="3"/>
  <c r="AG216" i="3" a="1"/>
  <c r="AG216" i="3" s="1"/>
  <c r="AG213" i="3"/>
  <c r="AJ244" i="3"/>
  <c r="AK241" i="3" s="1"/>
  <c r="AC170" i="3"/>
  <c r="AC171" i="3" a="1"/>
  <c r="AC171" i="3" s="1"/>
  <c r="AC168" i="3"/>
  <c r="AC176" i="3" s="1"/>
  <c r="BA387" i="3" a="1"/>
  <c r="BA387" i="3" s="1"/>
  <c r="BA386" i="3"/>
  <c r="BA384" i="3"/>
  <c r="BA392" i="3" s="1"/>
  <c r="AZ379" i="3"/>
  <c r="BA376" i="3" s="1"/>
  <c r="X135" i="3" a="1"/>
  <c r="X135" i="3" s="1"/>
  <c r="X134" i="3"/>
  <c r="X132" i="3"/>
  <c r="BE432" i="3" a="1"/>
  <c r="BE432" i="3" s="1"/>
  <c r="BE431" i="3"/>
  <c r="BE429" i="3"/>
  <c r="V114" i="3"/>
  <c r="V116" i="3"/>
  <c r="V117" i="3" a="1"/>
  <c r="V117" i="3" s="1"/>
  <c r="Z145" i="3"/>
  <c r="AA142" i="3" s="1"/>
  <c r="Q62" i="3"/>
  <c r="Q63" i="3" a="1"/>
  <c r="Q63" i="3" s="1"/>
  <c r="Q60" i="3"/>
  <c r="AM260" i="3"/>
  <c r="O110" i="3" a="1"/>
  <c r="O110" i="3" s="1"/>
  <c r="P110" i="3" s="1"/>
  <c r="Q110" i="3" s="1"/>
  <c r="R110" i="3" s="1"/>
  <c r="S110" i="3" s="1"/>
  <c r="T110" i="3" s="1"/>
  <c r="U110" i="3" s="1"/>
  <c r="O57" i="3"/>
  <c r="O58" i="3"/>
  <c r="O59" i="3" s="1"/>
  <c r="O75" i="3"/>
  <c r="O76" i="3"/>
  <c r="O66" i="3"/>
  <c r="O67" i="3"/>
  <c r="O93" i="3"/>
  <c r="O94" i="3"/>
  <c r="O84" i="3"/>
  <c r="O85" i="3"/>
  <c r="I9" i="3" a="1"/>
  <c r="I9" i="3" s="1"/>
  <c r="I8" i="3"/>
  <c r="I6" i="3"/>
  <c r="I11" i="3" s="1"/>
  <c r="V18" i="4"/>
  <c r="V16" i="4"/>
  <c r="AH7" i="2"/>
  <c r="W5" i="2"/>
  <c r="W25" i="5"/>
  <c r="W28" i="4" s="1"/>
  <c r="V16" i="7"/>
  <c r="W29" i="5"/>
  <c r="V18" i="7"/>
  <c r="T31" i="6"/>
  <c r="V28" i="4"/>
  <c r="V35" i="6" s="1"/>
  <c r="E35" i="6" s="1"/>
  <c r="U27" i="4"/>
  <c r="U34" i="6" s="1"/>
  <c r="V22" i="5"/>
  <c r="E22" i="5" s="1"/>
  <c r="U9" i="2"/>
  <c r="V5" i="4"/>
  <c r="E5" i="4" s="1"/>
  <c r="E5" i="2"/>
  <c r="U20" i="6"/>
  <c r="U27" i="6"/>
  <c r="V32" i="6"/>
  <c r="E21" i="4"/>
  <c r="AR19" i="1" s="1"/>
  <c r="AR7" i="1" l="1"/>
  <c r="D6" i="8"/>
  <c r="AM258" i="3"/>
  <c r="AM266" i="3" s="1"/>
  <c r="AV339" i="3"/>
  <c r="AV347" i="3" s="1"/>
  <c r="AV341" i="3"/>
  <c r="AV343" i="3" s="1"/>
  <c r="AW340" i="3" s="1"/>
  <c r="Q53" i="3"/>
  <c r="Q51" i="3"/>
  <c r="Q54" i="3" a="1"/>
  <c r="Q54" i="3" s="1"/>
  <c r="BK476" i="3"/>
  <c r="BK477" i="3" a="1"/>
  <c r="BK477" i="3" s="1"/>
  <c r="AS325" i="3"/>
  <c r="AT322" i="3" s="1"/>
  <c r="AT321" i="3" s="1"/>
  <c r="AT329" i="3" s="1"/>
  <c r="BC393" i="3"/>
  <c r="BC401" i="3" s="1"/>
  <c r="AF208" i="3"/>
  <c r="AG205" i="3" s="1"/>
  <c r="AG207" i="3" s="1" a="1"/>
  <c r="AG207" i="3" s="1"/>
  <c r="BC405" i="3" a="1"/>
  <c r="BC405" i="3" s="1"/>
  <c r="BC406" i="3" s="1"/>
  <c r="BD403" i="3" s="1"/>
  <c r="BD405" i="3" s="1" a="1"/>
  <c r="BD405" i="3" s="1"/>
  <c r="AI233" i="3"/>
  <c r="AI235" i="3" s="1"/>
  <c r="AJ232" i="3" s="1"/>
  <c r="AI231" i="3"/>
  <c r="BC396" i="3" a="1"/>
  <c r="BC396" i="3" s="1"/>
  <c r="BC397" i="3" s="1"/>
  <c r="BD394" i="3" s="1"/>
  <c r="BD395" i="3" s="1"/>
  <c r="V105" i="3"/>
  <c r="V113" i="3" s="1"/>
  <c r="AG195" i="3"/>
  <c r="AG203" i="3" s="1"/>
  <c r="V107" i="3"/>
  <c r="V109" i="3" s="1"/>
  <c r="W106" i="3" s="1"/>
  <c r="BC402" i="3"/>
  <c r="BC410" i="3" s="1"/>
  <c r="BG449" i="3"/>
  <c r="BG451" i="3" s="1"/>
  <c r="BH448" i="3" s="1"/>
  <c r="BH449" i="3" s="1"/>
  <c r="AD180" i="3" a="1"/>
  <c r="AD180" i="3" s="1"/>
  <c r="BK485" i="3"/>
  <c r="BK487" i="3" s="1"/>
  <c r="BK483" i="3"/>
  <c r="AG197" i="3"/>
  <c r="AG199" i="3" s="1"/>
  <c r="AH196" i="3" s="1"/>
  <c r="Q73" i="3"/>
  <c r="R70" i="3" s="1"/>
  <c r="R71" i="3" s="1"/>
  <c r="T98" i="3"/>
  <c r="T100" i="3" s="1"/>
  <c r="U97" i="3" s="1"/>
  <c r="U98" i="3" s="1"/>
  <c r="T96" i="3"/>
  <c r="T101" i="3" s="1"/>
  <c r="BG438" i="3"/>
  <c r="BG446" i="3" s="1"/>
  <c r="AD179" i="3"/>
  <c r="BD424" i="3"/>
  <c r="BE421" i="3" s="1"/>
  <c r="BE423" i="3" s="1" a="1"/>
  <c r="BE423" i="3" s="1"/>
  <c r="BD414" i="3" a="1"/>
  <c r="BD414" i="3" s="1"/>
  <c r="BD415" i="3" s="1"/>
  <c r="BE412" i="3" s="1"/>
  <c r="BE413" i="3" s="1"/>
  <c r="AW360" i="3" a="1"/>
  <c r="AW360" i="3" s="1"/>
  <c r="AW361" i="3" s="1"/>
  <c r="AX358" i="3" s="1"/>
  <c r="AX359" i="3" s="1"/>
  <c r="W28" i="5"/>
  <c r="V17" i="7"/>
  <c r="AW357" i="3"/>
  <c r="V13" i="6"/>
  <c r="E13" i="6" s="1"/>
  <c r="V17" i="4"/>
  <c r="V6" i="4"/>
  <c r="E6" i="4" s="1"/>
  <c r="W19" i="2"/>
  <c r="Z6" i="2"/>
  <c r="Z13" i="2" s="1"/>
  <c r="AR305" i="3"/>
  <c r="AR306" i="3" a="1"/>
  <c r="AR306" i="3" s="1"/>
  <c r="AR303" i="3"/>
  <c r="AR311" i="3" s="1"/>
  <c r="AN271" i="3"/>
  <c r="AO268" i="3" s="1"/>
  <c r="AO269" i="3" s="1"/>
  <c r="S78" i="3"/>
  <c r="S86" i="3" s="1"/>
  <c r="O86" i="3"/>
  <c r="O102" i="3"/>
  <c r="O103" i="3"/>
  <c r="X123" i="3"/>
  <c r="X131" i="3" s="1"/>
  <c r="O42" i="3"/>
  <c r="O47" i="3" s="1"/>
  <c r="X126" i="3" a="1"/>
  <c r="X126" i="3" s="1"/>
  <c r="X127" i="3" s="1"/>
  <c r="Y124" i="3" s="1"/>
  <c r="Y125" i="3" s="1"/>
  <c r="O111" i="3"/>
  <c r="Q68" i="3"/>
  <c r="Q65" i="3"/>
  <c r="BD411" i="3"/>
  <c r="BD419" i="3" s="1"/>
  <c r="BG447" i="3"/>
  <c r="AI226" i="3"/>
  <c r="AJ223" i="3" s="1"/>
  <c r="AJ222" i="3" s="1"/>
  <c r="AJ230" i="3" s="1"/>
  <c r="T92" i="3"/>
  <c r="O45" i="3" a="1"/>
  <c r="O45" i="3" s="1"/>
  <c r="O46" i="3" s="1"/>
  <c r="N49" i="3"/>
  <c r="N50" i="3" s="1"/>
  <c r="K21" i="3"/>
  <c r="K19" i="3"/>
  <c r="BG440" i="3"/>
  <c r="BG441" i="3" a="1"/>
  <c r="BG441" i="3" s="1"/>
  <c r="AB150" i="3"/>
  <c r="AB158" i="3" s="1"/>
  <c r="BE433" i="3"/>
  <c r="BF430" i="3" s="1"/>
  <c r="BF429" i="3" s="1"/>
  <c r="BF437" i="3" s="1"/>
  <c r="K24" i="3"/>
  <c r="K27" i="3" a="1"/>
  <c r="K27" i="3" s="1"/>
  <c r="K28" i="3" s="1"/>
  <c r="L25" i="3" s="1"/>
  <c r="T91" i="3"/>
  <c r="U88" i="3" s="1"/>
  <c r="U89" i="3" s="1"/>
  <c r="J31" i="3"/>
  <c r="AR316" i="3"/>
  <c r="AS313" i="3" s="1"/>
  <c r="AS315" i="3" s="1" a="1"/>
  <c r="AS315" i="3" s="1"/>
  <c r="AB153" i="3" a="1"/>
  <c r="AB153" i="3" s="1"/>
  <c r="AB154" i="3" s="1"/>
  <c r="AC151" i="3" s="1"/>
  <c r="AB161" i="3"/>
  <c r="AB162" i="3" a="1"/>
  <c r="AB162" i="3" s="1"/>
  <c r="AV348" i="3"/>
  <c r="AQ294" i="3"/>
  <c r="AQ302" i="3" s="1"/>
  <c r="S81" i="3" a="1"/>
  <c r="S81" i="3" s="1"/>
  <c r="S82" i="3" s="1"/>
  <c r="T79" i="3" s="1"/>
  <c r="J30" i="3"/>
  <c r="AQ297" i="3" a="1"/>
  <c r="AQ297" i="3" s="1"/>
  <c r="AQ298" i="3" s="1"/>
  <c r="AR295" i="3" s="1"/>
  <c r="M37" i="3"/>
  <c r="AX370" i="3"/>
  <c r="AY367" i="3" s="1"/>
  <c r="AY366" i="3" s="1"/>
  <c r="AY374" i="3" s="1"/>
  <c r="M39" i="3"/>
  <c r="Q64" i="3"/>
  <c r="R61" i="3" s="1"/>
  <c r="R63" i="3" s="1" a="1"/>
  <c r="R63" i="3" s="1"/>
  <c r="AE188" i="3"/>
  <c r="AV350" i="3"/>
  <c r="AV352" i="3" s="1"/>
  <c r="AW349" i="3" s="1"/>
  <c r="AW350" i="3" s="1"/>
  <c r="AE189" i="3" a="1"/>
  <c r="AE189" i="3" s="1"/>
  <c r="O112" i="3"/>
  <c r="X136" i="3"/>
  <c r="Y133" i="3" s="1"/>
  <c r="AM251" i="3"/>
  <c r="AM249" i="3"/>
  <c r="AM257" i="3" s="1"/>
  <c r="AM252" i="3" a="1"/>
  <c r="AM252" i="3" s="1"/>
  <c r="AC172" i="3"/>
  <c r="AD169" i="3" s="1"/>
  <c r="AN280" i="3"/>
  <c r="AO277" i="3" s="1"/>
  <c r="AK242" i="3"/>
  <c r="AK240" i="3"/>
  <c r="AK248" i="3" s="1"/>
  <c r="AK243" i="3" a="1"/>
  <c r="AK243" i="3" s="1"/>
  <c r="AT334" i="3"/>
  <c r="AU331" i="3" s="1"/>
  <c r="AA143" i="3"/>
  <c r="AA144" i="3" a="1"/>
  <c r="AA144" i="3" s="1"/>
  <c r="AA141" i="3"/>
  <c r="AA149" i="3" s="1"/>
  <c r="AM262" i="3"/>
  <c r="AN259" i="3" s="1"/>
  <c r="V118" i="3"/>
  <c r="W115" i="3" s="1"/>
  <c r="BA388" i="3"/>
  <c r="BB385" i="3" s="1"/>
  <c r="AG217" i="3"/>
  <c r="AH214" i="3" s="1"/>
  <c r="AQ288" i="3" a="1"/>
  <c r="AQ288" i="3" s="1"/>
  <c r="AQ285" i="3"/>
  <c r="AQ293" i="3" s="1"/>
  <c r="AQ287" i="3"/>
  <c r="BI458" i="3"/>
  <c r="BI459" i="3" a="1"/>
  <c r="BI459" i="3" s="1"/>
  <c r="BI456" i="3"/>
  <c r="BI464" i="3" s="1"/>
  <c r="BA377" i="3"/>
  <c r="BA375" i="3"/>
  <c r="BA383" i="3" s="1"/>
  <c r="BA378" i="3" a="1"/>
  <c r="BA378" i="3" s="1"/>
  <c r="P119" i="3" a="1"/>
  <c r="P119" i="3" s="1"/>
  <c r="P93" i="3"/>
  <c r="P94" i="3"/>
  <c r="P95" i="3" s="1"/>
  <c r="P111" i="3"/>
  <c r="P112" i="3"/>
  <c r="P75" i="3"/>
  <c r="P76" i="3"/>
  <c r="P84" i="3"/>
  <c r="P85" i="3"/>
  <c r="P57" i="3"/>
  <c r="P58" i="3"/>
  <c r="P67" i="3"/>
  <c r="P68" i="3" s="1"/>
  <c r="P66" i="3"/>
  <c r="P103" i="3"/>
  <c r="P102" i="3"/>
  <c r="I14" i="3"/>
  <c r="I4" i="3" s="1"/>
  <c r="I10" i="3"/>
  <c r="I13" i="3" s="1"/>
  <c r="W18" i="4"/>
  <c r="W16" i="4"/>
  <c r="AI7" i="2"/>
  <c r="F7" i="2"/>
  <c r="W22" i="5"/>
  <c r="W27" i="4" s="1"/>
  <c r="V15" i="7"/>
  <c r="X29" i="5"/>
  <c r="W18" i="7"/>
  <c r="X25" i="5"/>
  <c r="W16" i="7"/>
  <c r="U31" i="6"/>
  <c r="E28" i="4"/>
  <c r="V27" i="4"/>
  <c r="W8" i="2"/>
  <c r="X5" i="2"/>
  <c r="W5" i="4"/>
  <c r="V29" i="6"/>
  <c r="E29" i="6" s="1"/>
  <c r="E18" i="4"/>
  <c r="D21" i="8"/>
  <c r="V20" i="6"/>
  <c r="W32" i="6"/>
  <c r="W35" i="6"/>
  <c r="V27" i="6"/>
  <c r="E16" i="4"/>
  <c r="E32" i="6"/>
  <c r="AW339" i="3" l="1"/>
  <c r="AW347" i="3" s="1"/>
  <c r="BK478" i="3"/>
  <c r="AT324" i="3" a="1"/>
  <c r="AT324" i="3" s="1"/>
  <c r="AT323" i="3"/>
  <c r="Q59" i="3"/>
  <c r="Q56" i="3"/>
  <c r="Q57" i="3" s="1"/>
  <c r="Q55" i="3"/>
  <c r="R52" i="3" s="1"/>
  <c r="BE422" i="3"/>
  <c r="BE424" i="3" s="1"/>
  <c r="BF421" i="3" s="1"/>
  <c r="AG206" i="3"/>
  <c r="AG208" i="3" s="1"/>
  <c r="AH205" i="3" s="1"/>
  <c r="AH206" i="3" s="1"/>
  <c r="AG204" i="3"/>
  <c r="AG212" i="3" s="1"/>
  <c r="AJ231" i="3"/>
  <c r="AJ239" i="3" s="1"/>
  <c r="AJ234" i="3" a="1"/>
  <c r="AJ234" i="3" s="1"/>
  <c r="AJ233" i="3"/>
  <c r="BD393" i="3"/>
  <c r="BD401" i="3" s="1"/>
  <c r="BD396" i="3" a="1"/>
  <c r="BD396" i="3" s="1"/>
  <c r="BD397" i="3" s="1"/>
  <c r="BE394" i="3" s="1"/>
  <c r="AW341" i="3"/>
  <c r="V110" i="3"/>
  <c r="AD181" i="3"/>
  <c r="AE178" i="3" s="1"/>
  <c r="AE179" i="3" s="1"/>
  <c r="BE420" i="3"/>
  <c r="BE428" i="3" s="1"/>
  <c r="R69" i="3"/>
  <c r="R77" i="3" s="1"/>
  <c r="R72" i="3" a="1"/>
  <c r="R72" i="3" s="1"/>
  <c r="R73" i="3" s="1"/>
  <c r="S70" i="3" s="1"/>
  <c r="S71" i="3" s="1"/>
  <c r="U99" i="3" a="1"/>
  <c r="U99" i="3" s="1"/>
  <c r="U100" i="3" s="1"/>
  <c r="V97" i="3" s="1"/>
  <c r="V98" i="3" s="1"/>
  <c r="U96" i="3"/>
  <c r="U104" i="3" s="1"/>
  <c r="BD404" i="3"/>
  <c r="BD406" i="3" s="1"/>
  <c r="BE403" i="3" s="1"/>
  <c r="BD402" i="3"/>
  <c r="BD410" i="3" s="1"/>
  <c r="BE414" i="3" a="1"/>
  <c r="BE414" i="3" s="1"/>
  <c r="BE415" i="3" s="1"/>
  <c r="BF412" i="3" s="1"/>
  <c r="BF413" i="3" s="1"/>
  <c r="AW342" i="3" a="1"/>
  <c r="AW342" i="3" s="1"/>
  <c r="AR307" i="3"/>
  <c r="AS304" i="3" s="1"/>
  <c r="AS303" i="3" s="1"/>
  <c r="AS311" i="3" s="1"/>
  <c r="BF432" i="3" a="1"/>
  <c r="BF432" i="3" s="1"/>
  <c r="BH450" i="3" a="1"/>
  <c r="BH450" i="3" s="1"/>
  <c r="BH451" i="3" s="1"/>
  <c r="BI448" i="3" s="1"/>
  <c r="BE411" i="3"/>
  <c r="BE419" i="3" s="1"/>
  <c r="BH447" i="3"/>
  <c r="BH455" i="3" s="1"/>
  <c r="X28" i="5"/>
  <c r="W17" i="7"/>
  <c r="AO267" i="3"/>
  <c r="AO275" i="3" s="1"/>
  <c r="AX360" i="3" a="1"/>
  <c r="AX360" i="3" s="1"/>
  <c r="AX361" i="3" s="1"/>
  <c r="AY358" i="3" s="1"/>
  <c r="X19" i="2"/>
  <c r="AA6" i="2"/>
  <c r="AA13" i="2" s="1"/>
  <c r="W13" i="6"/>
  <c r="W17" i="4"/>
  <c r="W6" i="4"/>
  <c r="AO270" i="3" a="1"/>
  <c r="AO270" i="3" s="1"/>
  <c r="AO271" i="3" s="1"/>
  <c r="AP268" i="3" s="1"/>
  <c r="AP270" i="3" s="1" a="1"/>
  <c r="AP270" i="3" s="1"/>
  <c r="O50" i="3"/>
  <c r="S83" i="3"/>
  <c r="AY368" i="3"/>
  <c r="AS312" i="3"/>
  <c r="AS320" i="3" s="1"/>
  <c r="AW351" i="3" a="1"/>
  <c r="AW351" i="3" s="1"/>
  <c r="AW352" i="3" s="1"/>
  <c r="AX349" i="3" s="1"/>
  <c r="AS314" i="3"/>
  <c r="AS316" i="3" s="1"/>
  <c r="AT313" i="3" s="1"/>
  <c r="AW348" i="3"/>
  <c r="AW356" i="3" s="1"/>
  <c r="AC150" i="3"/>
  <c r="AC158" i="3" s="1"/>
  <c r="AX357" i="3"/>
  <c r="AX365" i="3" s="1"/>
  <c r="P120" i="3"/>
  <c r="Q119" i="3"/>
  <c r="R119" i="3" s="1"/>
  <c r="S119" i="3" s="1"/>
  <c r="T119" i="3" s="1"/>
  <c r="U119" i="3" s="1"/>
  <c r="V119" i="3" s="1"/>
  <c r="U90" i="3" a="1"/>
  <c r="U90" i="3" s="1"/>
  <c r="U91" i="3" s="1"/>
  <c r="V88" i="3" s="1"/>
  <c r="V90" i="3" s="1" a="1"/>
  <c r="V90" i="3" s="1"/>
  <c r="AJ225" i="3" a="1"/>
  <c r="AJ225" i="3" s="1"/>
  <c r="AJ224" i="3"/>
  <c r="AE190" i="3"/>
  <c r="AF187" i="3" s="1"/>
  <c r="AF189" i="3" s="1" a="1"/>
  <c r="AF189" i="3" s="1"/>
  <c r="BF431" i="3"/>
  <c r="U87" i="3"/>
  <c r="U95" i="3" s="1"/>
  <c r="K22" i="3"/>
  <c r="K23" i="3" s="1"/>
  <c r="L16" i="3"/>
  <c r="K32" i="3"/>
  <c r="K29" i="3"/>
  <c r="K30" i="3" s="1"/>
  <c r="I12" i="3"/>
  <c r="I2" i="3" s="1"/>
  <c r="I5" i="3"/>
  <c r="BG442" i="3"/>
  <c r="BH439" i="3" s="1"/>
  <c r="AB163" i="3"/>
  <c r="AC160" i="3" s="1"/>
  <c r="AC159" i="3" s="1"/>
  <c r="AC167" i="3" s="1"/>
  <c r="R62" i="3"/>
  <c r="R64" i="3" s="1"/>
  <c r="S61" i="3" s="1"/>
  <c r="R60" i="3"/>
  <c r="R68" i="3" s="1"/>
  <c r="AC152" i="3"/>
  <c r="AC153" i="3" a="1"/>
  <c r="AC153" i="3" s="1"/>
  <c r="Y126" i="3" a="1"/>
  <c r="Y126" i="3" s="1"/>
  <c r="Y127" i="3" s="1"/>
  <c r="Z124" i="3" s="1"/>
  <c r="AY369" i="3" a="1"/>
  <c r="AY369" i="3" s="1"/>
  <c r="Y123" i="3"/>
  <c r="Y131" i="3" s="1"/>
  <c r="AK244" i="3"/>
  <c r="AL241" i="3" s="1"/>
  <c r="AL243" i="3" s="1" a="1"/>
  <c r="AL243" i="3" s="1"/>
  <c r="N34" i="3"/>
  <c r="M40" i="3"/>
  <c r="M41" i="3" s="1"/>
  <c r="O48" i="3"/>
  <c r="O49" i="3"/>
  <c r="P43" i="3"/>
  <c r="AU333" i="3" a="1"/>
  <c r="AU333" i="3" s="1"/>
  <c r="AU330" i="3"/>
  <c r="AU338" i="3" s="1"/>
  <c r="AU332" i="3"/>
  <c r="AD168" i="3"/>
  <c r="AD176" i="3" s="1"/>
  <c r="AD171" i="3" a="1"/>
  <c r="AD171" i="3" s="1"/>
  <c r="AD170" i="3"/>
  <c r="BI460" i="3"/>
  <c r="BJ457" i="3" s="1"/>
  <c r="AN261" i="3" a="1"/>
  <c r="AN261" i="3" s="1"/>
  <c r="AN258" i="3"/>
  <c r="AN266" i="3" s="1"/>
  <c r="AN260" i="3"/>
  <c r="W107" i="3"/>
  <c r="W105" i="3"/>
  <c r="W108" i="3" a="1"/>
  <c r="W108" i="3" s="1"/>
  <c r="BA379" i="3"/>
  <c r="BB376" i="3" s="1"/>
  <c r="L24" i="3"/>
  <c r="L27" i="3" a="1"/>
  <c r="L27" i="3" s="1"/>
  <c r="L26" i="3"/>
  <c r="P121" i="3"/>
  <c r="AQ289" i="3"/>
  <c r="AR286" i="3" s="1"/>
  <c r="AH213" i="3"/>
  <c r="AH221" i="3" s="1"/>
  <c r="AH216" i="3" a="1"/>
  <c r="AH216" i="3" s="1"/>
  <c r="AH215" i="3"/>
  <c r="AM253" i="3"/>
  <c r="AN250" i="3" s="1"/>
  <c r="BB386" i="3"/>
  <c r="BB387" i="3" a="1"/>
  <c r="BB387" i="3" s="1"/>
  <c r="BB384" i="3"/>
  <c r="BB392" i="3" s="1"/>
  <c r="AA145" i="3"/>
  <c r="AB142" i="3" s="1"/>
  <c r="T81" i="3" a="1"/>
  <c r="T81" i="3" s="1"/>
  <c r="T78" i="3"/>
  <c r="T86" i="3" s="1"/>
  <c r="T80" i="3"/>
  <c r="AH198" i="3" a="1"/>
  <c r="AH198" i="3" s="1"/>
  <c r="AH195" i="3"/>
  <c r="AH203" i="3" s="1"/>
  <c r="AH197" i="3"/>
  <c r="Y132" i="3"/>
  <c r="Y140" i="3" s="1"/>
  <c r="Y134" i="3"/>
  <c r="Y135" i="3" a="1"/>
  <c r="Y135" i="3" s="1"/>
  <c r="W114" i="3"/>
  <c r="W122" i="3" s="1"/>
  <c r="W116" i="3"/>
  <c r="W117" i="3" a="1"/>
  <c r="W117" i="3" s="1"/>
  <c r="AR297" i="3" a="1"/>
  <c r="AR297" i="3" s="1"/>
  <c r="AR296" i="3"/>
  <c r="AR294" i="3"/>
  <c r="AR302" i="3" s="1"/>
  <c r="AO279" i="3" a="1"/>
  <c r="AO279" i="3" s="1"/>
  <c r="AO278" i="3"/>
  <c r="AO276" i="3"/>
  <c r="AO284" i="3" s="1"/>
  <c r="Q128" i="3" a="1"/>
  <c r="Q128" i="3" s="1"/>
  <c r="Q111" i="3"/>
  <c r="Q112" i="3"/>
  <c r="Q103" i="3"/>
  <c r="Q104" i="3" s="1"/>
  <c r="Q102" i="3"/>
  <c r="Q84" i="3"/>
  <c r="Q85" i="3"/>
  <c r="Q93" i="3"/>
  <c r="Q94" i="3"/>
  <c r="Q75" i="3"/>
  <c r="Q76" i="3"/>
  <c r="Q77" i="3" s="1"/>
  <c r="Q67" i="3"/>
  <c r="Q66" i="3"/>
  <c r="I3" i="3"/>
  <c r="P22" i="2" s="1"/>
  <c r="P14" i="6" s="1"/>
  <c r="J7" i="3"/>
  <c r="X18" i="4"/>
  <c r="X29" i="6" s="1"/>
  <c r="X16" i="4"/>
  <c r="AJ7" i="2"/>
  <c r="Y25" i="5"/>
  <c r="X16" i="7"/>
  <c r="X28" i="4"/>
  <c r="X35" i="6" s="1"/>
  <c r="Y29" i="5"/>
  <c r="X18" i="7"/>
  <c r="X22" i="5"/>
  <c r="X27" i="4" s="1"/>
  <c r="W15" i="7"/>
  <c r="X8" i="2"/>
  <c r="Y5" i="2"/>
  <c r="X5" i="4"/>
  <c r="W20" i="6"/>
  <c r="X32" i="6"/>
  <c r="W27" i="6"/>
  <c r="V34" i="6"/>
  <c r="E27" i="4"/>
  <c r="W29" i="6"/>
  <c r="V28" i="6"/>
  <c r="E28" i="6" s="1"/>
  <c r="E17" i="4"/>
  <c r="E27" i="6"/>
  <c r="E20" i="6"/>
  <c r="E15" i="7"/>
  <c r="V21" i="6"/>
  <c r="E21" i="6" s="1"/>
  <c r="AT325" i="3" l="1"/>
  <c r="AU322" i="3" s="1"/>
  <c r="AH207" i="3" a="1"/>
  <c r="AH207" i="3" s="1"/>
  <c r="AH208" i="3" s="1"/>
  <c r="AI205" i="3" s="1"/>
  <c r="AI206" i="3" s="1"/>
  <c r="Q58" i="3"/>
  <c r="AH204" i="3"/>
  <c r="AH212" i="3" s="1"/>
  <c r="R54" i="3" a="1"/>
  <c r="R54" i="3" s="1"/>
  <c r="R51" i="3"/>
  <c r="R53" i="3"/>
  <c r="AJ235" i="3"/>
  <c r="AK232" i="3" s="1"/>
  <c r="AK231" i="3" s="1"/>
  <c r="AK239" i="3" s="1"/>
  <c r="AW343" i="3"/>
  <c r="AX340" i="3" s="1"/>
  <c r="AX341" i="3" s="1"/>
  <c r="AE177" i="3"/>
  <c r="AE185" i="3" s="1"/>
  <c r="S72" i="3" a="1"/>
  <c r="S72" i="3" s="1"/>
  <c r="S73" i="3" s="1"/>
  <c r="T70" i="3" s="1"/>
  <c r="T71" i="3" s="1"/>
  <c r="AE180" i="3" a="1"/>
  <c r="AE180" i="3" s="1"/>
  <c r="AE181" i="3" s="1"/>
  <c r="AF178" i="3" s="1"/>
  <c r="AF179" i="3" s="1"/>
  <c r="U101" i="3"/>
  <c r="AS306" i="3" a="1"/>
  <c r="AS306" i="3" s="1"/>
  <c r="R74" i="3"/>
  <c r="R75" i="3" s="1"/>
  <c r="S69" i="3"/>
  <c r="S77" i="3" s="1"/>
  <c r="AS305" i="3"/>
  <c r="BE402" i="3"/>
  <c r="BE410" i="3" s="1"/>
  <c r="BE405" i="3" a="1"/>
  <c r="BE405" i="3" s="1"/>
  <c r="BE404" i="3"/>
  <c r="BF433" i="3"/>
  <c r="BG430" i="3" s="1"/>
  <c r="BG432" i="3" s="1" a="1"/>
  <c r="BG432" i="3" s="1"/>
  <c r="BF414" i="3" a="1"/>
  <c r="BF414" i="3" s="1"/>
  <c r="BF415" i="3" s="1"/>
  <c r="BG412" i="3" s="1"/>
  <c r="BG414" i="3" s="1" a="1"/>
  <c r="BG414" i="3" s="1"/>
  <c r="V99" i="3" a="1"/>
  <c r="V99" i="3" s="1"/>
  <c r="V100" i="3" s="1"/>
  <c r="W97" i="3" s="1"/>
  <c r="BF411" i="3"/>
  <c r="BF419" i="3" s="1"/>
  <c r="V96" i="3"/>
  <c r="V104" i="3" s="1"/>
  <c r="Q120" i="3"/>
  <c r="AN262" i="3"/>
  <c r="AO259" i="3" s="1"/>
  <c r="AO258" i="3" s="1"/>
  <c r="AO266" i="3" s="1"/>
  <c r="Y28" i="5"/>
  <c r="X17" i="7"/>
  <c r="AX348" i="3"/>
  <c r="AX356" i="3" s="1"/>
  <c r="AP269" i="3"/>
  <c r="AP271" i="3" s="1"/>
  <c r="AQ268" i="3" s="1"/>
  <c r="AP267" i="3"/>
  <c r="AP275" i="3" s="1"/>
  <c r="AY370" i="3"/>
  <c r="AZ367" i="3" s="1"/>
  <c r="AZ368" i="3" s="1"/>
  <c r="AB6" i="2"/>
  <c r="AB13" i="2" s="1"/>
  <c r="Y19" i="2"/>
  <c r="X13" i="6"/>
  <c r="X17" i="4"/>
  <c r="X28" i="6" s="1"/>
  <c r="X6" i="4"/>
  <c r="X21" i="6" s="1"/>
  <c r="AF186" i="3"/>
  <c r="AF194" i="3" s="1"/>
  <c r="AF188" i="3"/>
  <c r="AF190" i="3" s="1"/>
  <c r="AG187" i="3" s="1"/>
  <c r="AJ226" i="3"/>
  <c r="AK223" i="3" s="1"/>
  <c r="AK222" i="3" s="1"/>
  <c r="AK230" i="3" s="1"/>
  <c r="K31" i="3"/>
  <c r="AC154" i="3"/>
  <c r="AD151" i="3" s="1"/>
  <c r="AD153" i="3" s="1" a="1"/>
  <c r="AD153" i="3" s="1"/>
  <c r="R65" i="3"/>
  <c r="R66" i="3" s="1"/>
  <c r="V89" i="3"/>
  <c r="V91" i="3" s="1"/>
  <c r="W88" i="3" s="1"/>
  <c r="T82" i="3"/>
  <c r="U79" i="3" s="1"/>
  <c r="U80" i="3" s="1"/>
  <c r="V87" i="3"/>
  <c r="V95" i="3" s="1"/>
  <c r="Q130" i="3"/>
  <c r="R128" i="3"/>
  <c r="S128" i="3" s="1"/>
  <c r="T128" i="3" s="1"/>
  <c r="U128" i="3" s="1"/>
  <c r="V128" i="3" s="1"/>
  <c r="W128" i="3" s="1"/>
  <c r="X128" i="3" s="1"/>
  <c r="Y128" i="3" s="1"/>
  <c r="W119" i="3"/>
  <c r="T83" i="3"/>
  <c r="W113" i="3"/>
  <c r="W110" i="3"/>
  <c r="U92" i="3"/>
  <c r="L18" i="3" a="1"/>
  <c r="L18" i="3" s="1"/>
  <c r="L15" i="3"/>
  <c r="L17" i="3"/>
  <c r="L29" i="3"/>
  <c r="L30" i="3" s="1"/>
  <c r="AO280" i="3"/>
  <c r="AP277" i="3" s="1"/>
  <c r="AP279" i="3" s="1" a="1"/>
  <c r="AP279" i="3" s="1"/>
  <c r="BH440" i="3"/>
  <c r="BH438" i="3"/>
  <c r="BH446" i="3" s="1"/>
  <c r="BH441" i="3" a="1"/>
  <c r="BH441" i="3" s="1"/>
  <c r="Q121" i="3"/>
  <c r="AC161" i="3"/>
  <c r="AC162" i="3" a="1"/>
  <c r="AC162" i="3" s="1"/>
  <c r="W118" i="3"/>
  <c r="X115" i="3" s="1"/>
  <c r="X117" i="3" s="1" a="1"/>
  <c r="X117" i="3" s="1"/>
  <c r="Q129" i="3"/>
  <c r="AL240" i="3"/>
  <c r="AL248" i="3" s="1"/>
  <c r="AR298" i="3"/>
  <c r="AS295" i="3" s="1"/>
  <c r="AS294" i="3" s="1"/>
  <c r="AS302" i="3" s="1"/>
  <c r="L28" i="3"/>
  <c r="M25" i="3" s="1"/>
  <c r="M24" i="3" s="1"/>
  <c r="M32" i="3" s="1"/>
  <c r="AL242" i="3"/>
  <c r="AL244" i="3" s="1"/>
  <c r="AM241" i="3" s="1"/>
  <c r="AX351" i="3" a="1"/>
  <c r="AX351" i="3" s="1"/>
  <c r="AX350" i="3"/>
  <c r="AU334" i="3"/>
  <c r="AV331" i="3" s="1"/>
  <c r="AV332" i="3" s="1"/>
  <c r="N35" i="3"/>
  <c r="N36" i="3" a="1"/>
  <c r="N36" i="3" s="1"/>
  <c r="N33" i="3"/>
  <c r="N38" i="3" s="1"/>
  <c r="W109" i="3"/>
  <c r="X106" i="3" s="1"/>
  <c r="X108" i="3" s="1" a="1"/>
  <c r="X108" i="3" s="1"/>
  <c r="AU321" i="3"/>
  <c r="AU329" i="3" s="1"/>
  <c r="AU323" i="3"/>
  <c r="AU324" i="3" a="1"/>
  <c r="AU324" i="3" s="1"/>
  <c r="Y136" i="3"/>
  <c r="Z133" i="3" s="1"/>
  <c r="BF422" i="3"/>
  <c r="BF420" i="3"/>
  <c r="BF428" i="3" s="1"/>
  <c r="BF423" i="3" a="1"/>
  <c r="BF423" i="3" s="1"/>
  <c r="BB378" i="3" a="1"/>
  <c r="BB378" i="3" s="1"/>
  <c r="BB377" i="3"/>
  <c r="BB375" i="3"/>
  <c r="BB383" i="3" s="1"/>
  <c r="BE393" i="3"/>
  <c r="BE401" i="3" s="1"/>
  <c r="BE396" i="3" a="1"/>
  <c r="BE396" i="3" s="1"/>
  <c r="BE395" i="3"/>
  <c r="AY359" i="3"/>
  <c r="AY360" i="3" a="1"/>
  <c r="AY360" i="3" s="1"/>
  <c r="AY357" i="3"/>
  <c r="AY365" i="3" s="1"/>
  <c r="BJ456" i="3"/>
  <c r="BJ464" i="3" s="1"/>
  <c r="BJ459" i="3" a="1"/>
  <c r="BJ459" i="3" s="1"/>
  <c r="BJ458" i="3"/>
  <c r="Z123" i="3"/>
  <c r="Z131" i="3" s="1"/>
  <c r="Z126" i="3" a="1"/>
  <c r="Z126" i="3" s="1"/>
  <c r="Z125" i="3"/>
  <c r="AB141" i="3"/>
  <c r="AB149" i="3" s="1"/>
  <c r="AB144" i="3" a="1"/>
  <c r="AB144" i="3" s="1"/>
  <c r="AB143" i="3"/>
  <c r="AK233" i="3"/>
  <c r="S62" i="3"/>
  <c r="S60" i="3"/>
  <c r="S68" i="3" s="1"/>
  <c r="S63" i="3" a="1"/>
  <c r="S63" i="3" s="1"/>
  <c r="BI450" i="3" a="1"/>
  <c r="BI450" i="3" s="1"/>
  <c r="BI449" i="3"/>
  <c r="BI447" i="3"/>
  <c r="BI455" i="3" s="1"/>
  <c r="AH199" i="3"/>
  <c r="AI196" i="3" s="1"/>
  <c r="AN251" i="3"/>
  <c r="AN252" i="3" a="1"/>
  <c r="AN252" i="3" s="1"/>
  <c r="AN249" i="3"/>
  <c r="AN257" i="3" s="1"/>
  <c r="AH217" i="3"/>
  <c r="AI214" i="3" s="1"/>
  <c r="AD172" i="3"/>
  <c r="AE169" i="3" s="1"/>
  <c r="P42" i="3"/>
  <c r="P47" i="3" s="1"/>
  <c r="P44" i="3"/>
  <c r="P45" i="3" a="1"/>
  <c r="P45" i="3" s="1"/>
  <c r="BB388" i="3"/>
  <c r="BC385" i="3" s="1"/>
  <c r="AT315" i="3" a="1"/>
  <c r="AT315" i="3" s="1"/>
  <c r="AT312" i="3"/>
  <c r="AT320" i="3" s="1"/>
  <c r="AT314" i="3"/>
  <c r="AR288" i="3" a="1"/>
  <c r="AR288" i="3" s="1"/>
  <c r="AR287" i="3"/>
  <c r="AR285" i="3"/>
  <c r="AR293" i="3" s="1"/>
  <c r="R137" i="3" a="1"/>
  <c r="R137" i="3" s="1"/>
  <c r="R138" i="3" s="1"/>
  <c r="R102" i="3"/>
  <c r="R103" i="3"/>
  <c r="R112" i="3"/>
  <c r="R113" i="3" s="1"/>
  <c r="R111" i="3"/>
  <c r="R93" i="3"/>
  <c r="R94" i="3"/>
  <c r="R84" i="3"/>
  <c r="R85" i="3"/>
  <c r="R86" i="3" s="1"/>
  <c r="R121" i="3"/>
  <c r="R120" i="3"/>
  <c r="J9" i="3" a="1"/>
  <c r="J9" i="3" s="1"/>
  <c r="J8" i="3"/>
  <c r="J6" i="3"/>
  <c r="J11" i="3" s="1"/>
  <c r="Y18" i="4"/>
  <c r="Y29" i="6" s="1"/>
  <c r="Y16" i="4"/>
  <c r="AK7" i="2"/>
  <c r="Z29" i="5"/>
  <c r="Y18" i="7"/>
  <c r="Y22" i="5"/>
  <c r="Y27" i="4" s="1"/>
  <c r="X15" i="7"/>
  <c r="Z25" i="5"/>
  <c r="Y16" i="7"/>
  <c r="Y28" i="4"/>
  <c r="Y35" i="6" s="1"/>
  <c r="V31" i="6"/>
  <c r="Z5" i="2"/>
  <c r="Y8" i="2"/>
  <c r="E31" i="10"/>
  <c r="E28" i="10"/>
  <c r="E29" i="10"/>
  <c r="E30" i="10"/>
  <c r="E27" i="10"/>
  <c r="Y5" i="4"/>
  <c r="E34" i="6"/>
  <c r="W28" i="6"/>
  <c r="W31" i="6" s="1"/>
  <c r="X20" i="6"/>
  <c r="W21" i="6"/>
  <c r="W34" i="6"/>
  <c r="X27" i="6"/>
  <c r="Y32" i="6"/>
  <c r="X34" i="6"/>
  <c r="R55" i="3" l="1"/>
  <c r="S52" i="3" s="1"/>
  <c r="AK234" i="3" a="1"/>
  <c r="AK234" i="3" s="1"/>
  <c r="AK235" i="3" s="1"/>
  <c r="AL232" i="3" s="1"/>
  <c r="AX342" i="3" a="1"/>
  <c r="AX342" i="3" s="1"/>
  <c r="R59" i="3"/>
  <c r="R56" i="3"/>
  <c r="AF177" i="3"/>
  <c r="AF185" i="3" s="1"/>
  <c r="AF180" i="3" a="1"/>
  <c r="AF180" i="3" s="1"/>
  <c r="AF181" i="3" s="1"/>
  <c r="AG178" i="3" s="1"/>
  <c r="AX339" i="3"/>
  <c r="AX347" i="3" s="1"/>
  <c r="BG431" i="3"/>
  <c r="BG433" i="3" s="1"/>
  <c r="BH430" i="3" s="1"/>
  <c r="AS307" i="3"/>
  <c r="AT304" i="3" s="1"/>
  <c r="AT305" i="3" s="1"/>
  <c r="R76" i="3"/>
  <c r="V101" i="3"/>
  <c r="S74" i="3"/>
  <c r="S75" i="3" s="1"/>
  <c r="W96" i="3"/>
  <c r="W104" i="3" s="1"/>
  <c r="BG429" i="3"/>
  <c r="BG437" i="3" s="1"/>
  <c r="BE406" i="3"/>
  <c r="BF403" i="3" s="1"/>
  <c r="BF405" i="3" s="1" a="1"/>
  <c r="BF405" i="3" s="1"/>
  <c r="BG413" i="3"/>
  <c r="BG415" i="3" s="1"/>
  <c r="BH412" i="3" s="1"/>
  <c r="BG411" i="3"/>
  <c r="BG419" i="3" s="1"/>
  <c r="AO260" i="3"/>
  <c r="AO261" i="3" a="1"/>
  <c r="AO261" i="3" s="1"/>
  <c r="BI451" i="3"/>
  <c r="BJ448" i="3" s="1"/>
  <c r="BJ447" i="3" s="1"/>
  <c r="BJ455" i="3" s="1"/>
  <c r="W99" i="3" a="1"/>
  <c r="W99" i="3" s="1"/>
  <c r="W98" i="3"/>
  <c r="X114" i="3"/>
  <c r="X122" i="3" s="1"/>
  <c r="AZ369" i="3" a="1"/>
  <c r="AZ369" i="3" s="1"/>
  <c r="AZ370" i="3" s="1"/>
  <c r="BA367" i="3" s="1"/>
  <c r="AK225" i="3" a="1"/>
  <c r="AK225" i="3" s="1"/>
  <c r="AK224" i="3"/>
  <c r="AZ366" i="3"/>
  <c r="AZ374" i="3" s="1"/>
  <c r="X116" i="3"/>
  <c r="X118" i="3" s="1"/>
  <c r="Y115" i="3" s="1"/>
  <c r="Z28" i="5"/>
  <c r="Y17" i="7"/>
  <c r="T69" i="3"/>
  <c r="T77" i="3" s="1"/>
  <c r="AD152" i="3"/>
  <c r="AD154" i="3" s="1"/>
  <c r="AE151" i="3" s="1"/>
  <c r="AD150" i="3"/>
  <c r="AD158" i="3" s="1"/>
  <c r="T72" i="3" a="1"/>
  <c r="T72" i="3" s="1"/>
  <c r="T73" i="3" s="1"/>
  <c r="U70" i="3" s="1"/>
  <c r="AC6" i="2"/>
  <c r="AC13" i="2" s="1"/>
  <c r="Z19" i="2"/>
  <c r="Y13" i="6"/>
  <c r="Y17" i="4"/>
  <c r="Y6" i="4"/>
  <c r="AG186" i="3"/>
  <c r="AG194" i="3" s="1"/>
  <c r="AG188" i="3"/>
  <c r="U81" i="3" a="1"/>
  <c r="U81" i="3" s="1"/>
  <c r="U82" i="3" s="1"/>
  <c r="V79" i="3" s="1"/>
  <c r="R129" i="3"/>
  <c r="R67" i="3"/>
  <c r="V92" i="3"/>
  <c r="W87" i="3"/>
  <c r="W95" i="3" s="1"/>
  <c r="U78" i="3"/>
  <c r="U86" i="3" s="1"/>
  <c r="AP276" i="3"/>
  <c r="AP284" i="3" s="1"/>
  <c r="AP278" i="3"/>
  <c r="AP280" i="3" s="1"/>
  <c r="AQ277" i="3" s="1"/>
  <c r="Z128" i="3"/>
  <c r="BE397" i="3"/>
  <c r="BF394" i="3" s="1"/>
  <c r="BF396" i="3" s="1" a="1"/>
  <c r="BF396" i="3" s="1"/>
  <c r="AS297" i="3" a="1"/>
  <c r="AS297" i="3" s="1"/>
  <c r="W89" i="3"/>
  <c r="W90" i="3" a="1"/>
  <c r="W90" i="3" s="1"/>
  <c r="R139" i="3"/>
  <c r="S137" i="3"/>
  <c r="T137" i="3" s="1"/>
  <c r="U137" i="3" s="1"/>
  <c r="V137" i="3" s="1"/>
  <c r="W137" i="3" s="1"/>
  <c r="X137" i="3" s="1"/>
  <c r="Y137" i="3" s="1"/>
  <c r="AS296" i="3"/>
  <c r="S65" i="3"/>
  <c r="S66" i="3" s="1"/>
  <c r="AX352" i="3"/>
  <c r="AY349" i="3" s="1"/>
  <c r="AY348" i="3" s="1"/>
  <c r="AY356" i="3" s="1"/>
  <c r="L19" i="3"/>
  <c r="L20" i="3"/>
  <c r="L21" i="3" s="1"/>
  <c r="L23" i="3"/>
  <c r="L31" i="3"/>
  <c r="L32" i="3" s="1"/>
  <c r="M26" i="3"/>
  <c r="M29" i="3"/>
  <c r="M27" i="3" a="1"/>
  <c r="M27" i="3" s="1"/>
  <c r="AX343" i="3"/>
  <c r="AY340" i="3" s="1"/>
  <c r="R130" i="3"/>
  <c r="BH442" i="3"/>
  <c r="BI439" i="3" s="1"/>
  <c r="BF424" i="3"/>
  <c r="BG421" i="3" s="1"/>
  <c r="BG420" i="3" s="1"/>
  <c r="BG428" i="3" s="1"/>
  <c r="X107" i="3"/>
  <c r="X109" i="3" s="1"/>
  <c r="Y106" i="3" s="1"/>
  <c r="AG189" i="3" a="1"/>
  <c r="AG189" i="3" s="1"/>
  <c r="X105" i="3"/>
  <c r="X113" i="3" s="1"/>
  <c r="AC163" i="3"/>
  <c r="AD160" i="3" s="1"/>
  <c r="AI204" i="3"/>
  <c r="AI212" i="3" s="1"/>
  <c r="N37" i="3"/>
  <c r="O34" i="3" s="1"/>
  <c r="AI207" i="3" a="1"/>
  <c r="AI207" i="3" s="1"/>
  <c r="AI208" i="3" s="1"/>
  <c r="AJ205" i="3" s="1"/>
  <c r="AV330" i="3"/>
  <c r="AV338" i="3" s="1"/>
  <c r="AV333" i="3" a="1"/>
  <c r="AV333" i="3" s="1"/>
  <c r="AV334" i="3" s="1"/>
  <c r="AW331" i="3" s="1"/>
  <c r="AW333" i="3" s="1" a="1"/>
  <c r="AW333" i="3" s="1"/>
  <c r="N41" i="3"/>
  <c r="S64" i="3"/>
  <c r="T61" i="3" s="1"/>
  <c r="T60" i="3" s="1"/>
  <c r="AR289" i="3"/>
  <c r="AS286" i="3" s="1"/>
  <c r="AS288" i="3" s="1" a="1"/>
  <c r="AS288" i="3" s="1"/>
  <c r="AE170" i="3"/>
  <c r="AE168" i="3"/>
  <c r="AE176" i="3" s="1"/>
  <c r="AE171" i="3" a="1"/>
  <c r="AE171" i="3" s="1"/>
  <c r="AB145" i="3"/>
  <c r="AC142" i="3" s="1"/>
  <c r="AY361" i="3"/>
  <c r="AZ358" i="3" s="1"/>
  <c r="BB379" i="3"/>
  <c r="BC376" i="3" s="1"/>
  <c r="BC387" i="3" a="1"/>
  <c r="BC387" i="3" s="1"/>
  <c r="BC384" i="3"/>
  <c r="BC392" i="3" s="1"/>
  <c r="BC386" i="3"/>
  <c r="AI215" i="3"/>
  <c r="AI213" i="3"/>
  <c r="AI221" i="3" s="1"/>
  <c r="AI216" i="3" a="1"/>
  <c r="AI216" i="3" s="1"/>
  <c r="Z134" i="3"/>
  <c r="Z135" i="3" a="1"/>
  <c r="Z135" i="3" s="1"/>
  <c r="Z132" i="3"/>
  <c r="Z140" i="3" s="1"/>
  <c r="AI195" i="3"/>
  <c r="AI203" i="3" s="1"/>
  <c r="AI198" i="3" a="1"/>
  <c r="AI198" i="3" s="1"/>
  <c r="AI197" i="3"/>
  <c r="Z127" i="3"/>
  <c r="AA124" i="3" s="1"/>
  <c r="AQ267" i="3"/>
  <c r="AQ275" i="3" s="1"/>
  <c r="AQ270" i="3" a="1"/>
  <c r="AQ270" i="3" s="1"/>
  <c r="AQ269" i="3"/>
  <c r="AT306" i="3" a="1"/>
  <c r="AT306" i="3" s="1"/>
  <c r="AT316" i="3"/>
  <c r="AU313" i="3" s="1"/>
  <c r="AU325" i="3"/>
  <c r="AV322" i="3" s="1"/>
  <c r="P50" i="3"/>
  <c r="P48" i="3"/>
  <c r="AM242" i="3"/>
  <c r="AM243" i="3" a="1"/>
  <c r="AM243" i="3" s="1"/>
  <c r="AM240" i="3"/>
  <c r="AM248" i="3" s="1"/>
  <c r="P46" i="3"/>
  <c r="AN253" i="3"/>
  <c r="AO250" i="3" s="1"/>
  <c r="BJ460" i="3"/>
  <c r="BK457" i="3" s="1"/>
  <c r="S146" i="3" a="1"/>
  <c r="S146" i="3" s="1"/>
  <c r="T146" i="3" s="1"/>
  <c r="U146" i="3" s="1"/>
  <c r="V146" i="3" s="1"/>
  <c r="W146" i="3" s="1"/>
  <c r="X146" i="3" s="1"/>
  <c r="Y146" i="3" s="1"/>
  <c r="Z146" i="3" s="1"/>
  <c r="AA146" i="3" s="1"/>
  <c r="AB146" i="3" s="1"/>
  <c r="S102" i="3"/>
  <c r="S103" i="3"/>
  <c r="S129" i="3"/>
  <c r="S130" i="3"/>
  <c r="S111" i="3"/>
  <c r="S112" i="3"/>
  <c r="S93" i="3"/>
  <c r="S94" i="3"/>
  <c r="S95" i="3" s="1"/>
  <c r="S120" i="3"/>
  <c r="S121" i="3"/>
  <c r="S122" i="3" s="1"/>
  <c r="S84" i="3"/>
  <c r="S85" i="3"/>
  <c r="J5" i="3"/>
  <c r="J10" i="3"/>
  <c r="Z16" i="4"/>
  <c r="Z18" i="4"/>
  <c r="Z29" i="6" s="1"/>
  <c r="AL7" i="2"/>
  <c r="AA25" i="5"/>
  <c r="Z16" i="7"/>
  <c r="Z28" i="4"/>
  <c r="Z35" i="6" s="1"/>
  <c r="Z22" i="5"/>
  <c r="Z27" i="4" s="1"/>
  <c r="Y15" i="7"/>
  <c r="AA29" i="5"/>
  <c r="Z18" i="7"/>
  <c r="X31" i="6"/>
  <c r="AA5" i="2"/>
  <c r="E32" i="10"/>
  <c r="E45" i="10"/>
  <c r="E33" i="10"/>
  <c r="Z5" i="4"/>
  <c r="Z8" i="2"/>
  <c r="Y34" i="6"/>
  <c r="Z32" i="6"/>
  <c r="Y27" i="6"/>
  <c r="Y20" i="6"/>
  <c r="AG177" i="3" l="1"/>
  <c r="AG185" i="3" s="1"/>
  <c r="S54" i="3" a="1"/>
  <c r="S54" i="3" s="1"/>
  <c r="S53" i="3"/>
  <c r="S51" i="3"/>
  <c r="R57" i="3"/>
  <c r="R58" i="3"/>
  <c r="BJ450" i="3" a="1"/>
  <c r="BJ450" i="3" s="1"/>
  <c r="S76" i="3"/>
  <c r="AT303" i="3"/>
  <c r="AT311" i="3" s="1"/>
  <c r="BF402" i="3"/>
  <c r="BF410" i="3" s="1"/>
  <c r="BF404" i="3"/>
  <c r="BF406" i="3" s="1"/>
  <c r="BG403" i="3" s="1"/>
  <c r="BG405" i="3" s="1" a="1"/>
  <c r="BG405" i="3" s="1"/>
  <c r="W101" i="3"/>
  <c r="AO262" i="3"/>
  <c r="AP259" i="3" s="1"/>
  <c r="AP258" i="3" s="1"/>
  <c r="AP266" i="3" s="1"/>
  <c r="BJ449" i="3"/>
  <c r="T74" i="3"/>
  <c r="T76" i="3" s="1"/>
  <c r="X119" i="3"/>
  <c r="W100" i="3"/>
  <c r="X97" i="3" s="1"/>
  <c r="X99" i="3" s="1" a="1"/>
  <c r="X99" i="3" s="1"/>
  <c r="AE150" i="3"/>
  <c r="AE158" i="3" s="1"/>
  <c r="U83" i="3"/>
  <c r="AK226" i="3"/>
  <c r="AL223" i="3" s="1"/>
  <c r="T63" i="3" a="1"/>
  <c r="T63" i="3" s="1"/>
  <c r="BG423" i="3" a="1"/>
  <c r="BG423" i="3" s="1"/>
  <c r="BG422" i="3"/>
  <c r="BF395" i="3"/>
  <c r="BF397" i="3" s="1"/>
  <c r="BG394" i="3" s="1"/>
  <c r="BF393" i="3"/>
  <c r="BF401" i="3" s="1"/>
  <c r="Z137" i="3"/>
  <c r="AA28" i="5"/>
  <c r="Z17" i="7"/>
  <c r="AP261" i="3" a="1"/>
  <c r="AP261" i="3" s="1"/>
  <c r="AA19" i="2"/>
  <c r="AD6" i="2"/>
  <c r="AD13" i="2" s="1"/>
  <c r="Z17" i="4"/>
  <c r="Z28" i="6" s="1"/>
  <c r="Z13" i="6"/>
  <c r="Z6" i="4"/>
  <c r="Z21" i="6" s="1"/>
  <c r="AS298" i="3"/>
  <c r="AT295" i="3" s="1"/>
  <c r="AT297" i="3" s="1" a="1"/>
  <c r="AT297" i="3" s="1"/>
  <c r="V80" i="3"/>
  <c r="V81" i="3" a="1"/>
  <c r="V81" i="3" s="1"/>
  <c r="AG190" i="3"/>
  <c r="AH187" i="3" s="1"/>
  <c r="AH186" i="3" s="1"/>
  <c r="AH194" i="3" s="1"/>
  <c r="V78" i="3"/>
  <c r="V86" i="3" s="1"/>
  <c r="AY350" i="3"/>
  <c r="AY351" i="3" a="1"/>
  <c r="AY351" i="3" s="1"/>
  <c r="X110" i="3"/>
  <c r="W92" i="3"/>
  <c r="M30" i="3"/>
  <c r="M28" i="3"/>
  <c r="M31" i="3" s="1"/>
  <c r="S138" i="3"/>
  <c r="W91" i="3"/>
  <c r="X88" i="3" s="1"/>
  <c r="S139" i="3"/>
  <c r="T65" i="3"/>
  <c r="M16" i="3"/>
  <c r="L22" i="3"/>
  <c r="Y108" i="3" a="1"/>
  <c r="Y108" i="3" s="1"/>
  <c r="Y107" i="3"/>
  <c r="AG179" i="3"/>
  <c r="J12" i="3"/>
  <c r="J2" i="3" s="1"/>
  <c r="AE152" i="3"/>
  <c r="BI438" i="3"/>
  <c r="BI446" i="3" s="1"/>
  <c r="BI440" i="3"/>
  <c r="BI441" i="3" a="1"/>
  <c r="BI441" i="3" s="1"/>
  <c r="AE153" i="3" a="1"/>
  <c r="AE153" i="3" s="1"/>
  <c r="AY339" i="3"/>
  <c r="AY347" i="3" s="1"/>
  <c r="AY342" i="3" a="1"/>
  <c r="AY342" i="3" s="1"/>
  <c r="AY341" i="3"/>
  <c r="Y105" i="3"/>
  <c r="Y113" i="3" s="1"/>
  <c r="AD162" i="3" a="1"/>
  <c r="AD162" i="3" s="1"/>
  <c r="AD161" i="3"/>
  <c r="AD159" i="3"/>
  <c r="AD167" i="3" s="1"/>
  <c r="AS287" i="3"/>
  <c r="AS289" i="3" s="1"/>
  <c r="AT286" i="3" s="1"/>
  <c r="AT287" i="3" s="1"/>
  <c r="AS285" i="3"/>
  <c r="AS293" i="3" s="1"/>
  <c r="AG180" i="3" a="1"/>
  <c r="AG180" i="3" s="1"/>
  <c r="T68" i="3"/>
  <c r="AW332" i="3"/>
  <c r="AW334" i="3" s="1"/>
  <c r="AX331" i="3" s="1"/>
  <c r="AW330" i="3"/>
  <c r="AW338" i="3" s="1"/>
  <c r="O36" i="3" a="1"/>
  <c r="O36" i="3" s="1"/>
  <c r="O35" i="3"/>
  <c r="O33" i="3"/>
  <c r="S67" i="3"/>
  <c r="T62" i="3"/>
  <c r="N39" i="3"/>
  <c r="N40" i="3"/>
  <c r="AT307" i="3"/>
  <c r="AU304" i="3" s="1"/>
  <c r="AU305" i="3" s="1"/>
  <c r="AM244" i="3"/>
  <c r="AN241" i="3" s="1"/>
  <c r="AN240" i="3" s="1"/>
  <c r="AN248" i="3" s="1"/>
  <c r="S148" i="3"/>
  <c r="S147" i="3"/>
  <c r="U69" i="3"/>
  <c r="U77" i="3" s="1"/>
  <c r="U72" i="3" a="1"/>
  <c r="U72" i="3" s="1"/>
  <c r="U71" i="3"/>
  <c r="BH431" i="3"/>
  <c r="BH432" i="3" a="1"/>
  <c r="BH432" i="3" s="1"/>
  <c r="BH429" i="3"/>
  <c r="BH437" i="3" s="1"/>
  <c r="AU314" i="3"/>
  <c r="AU312" i="3"/>
  <c r="AU320" i="3" s="1"/>
  <c r="AU315" i="3" a="1"/>
  <c r="AU315" i="3" s="1"/>
  <c r="AJ207" i="3" a="1"/>
  <c r="AJ207" i="3" s="1"/>
  <c r="AJ204" i="3"/>
  <c r="AJ212" i="3" s="1"/>
  <c r="AJ206" i="3"/>
  <c r="AI217" i="3"/>
  <c r="AJ214" i="3" s="1"/>
  <c r="AZ359" i="3"/>
  <c r="AZ357" i="3"/>
  <c r="AZ365" i="3" s="1"/>
  <c r="AZ360" i="3" a="1"/>
  <c r="AZ360" i="3" s="1"/>
  <c r="AV324" i="3" a="1"/>
  <c r="AV324" i="3" s="1"/>
  <c r="AV323" i="3"/>
  <c r="AV321" i="3"/>
  <c r="AV329" i="3" s="1"/>
  <c r="AQ278" i="3"/>
  <c r="AQ279" i="3" a="1"/>
  <c r="AQ279" i="3" s="1"/>
  <c r="AQ276" i="3"/>
  <c r="AQ284" i="3" s="1"/>
  <c r="AC141" i="3"/>
  <c r="AC149" i="3" s="1"/>
  <c r="AC143" i="3"/>
  <c r="AC144" i="3" a="1"/>
  <c r="AC144" i="3" s="1"/>
  <c r="AE172" i="3"/>
  <c r="AF169" i="3" s="1"/>
  <c r="BK459" i="3" a="1"/>
  <c r="BK459" i="3" s="1"/>
  <c r="BK456" i="3"/>
  <c r="BK464" i="3" s="1"/>
  <c r="BK458" i="3"/>
  <c r="BH411" i="3"/>
  <c r="BH419" i="3" s="1"/>
  <c r="BH414" i="3" a="1"/>
  <c r="BH414" i="3" s="1"/>
  <c r="BH413" i="3"/>
  <c r="AL233" i="3"/>
  <c r="AL231" i="3"/>
  <c r="AL239" i="3" s="1"/>
  <c r="AL234" i="3" a="1"/>
  <c r="AL234" i="3" s="1"/>
  <c r="AQ271" i="3"/>
  <c r="AR268" i="3" s="1"/>
  <c r="AA125" i="3"/>
  <c r="AA123" i="3"/>
  <c r="AA131" i="3" s="1"/>
  <c r="AA126" i="3" a="1"/>
  <c r="AA126" i="3" s="1"/>
  <c r="BC388" i="3"/>
  <c r="BD385" i="3" s="1"/>
  <c r="AO249" i="3"/>
  <c r="AO257" i="3" s="1"/>
  <c r="AO251" i="3"/>
  <c r="AO252" i="3" a="1"/>
  <c r="AO252" i="3" s="1"/>
  <c r="Y114" i="3"/>
  <c r="Y122" i="3" s="1"/>
  <c r="Y116" i="3"/>
  <c r="Y117" i="3" a="1"/>
  <c r="Y117" i="3" s="1"/>
  <c r="BC377" i="3"/>
  <c r="BC378" i="3" a="1"/>
  <c r="BC378" i="3" s="1"/>
  <c r="BC375" i="3"/>
  <c r="BC383" i="3" s="1"/>
  <c r="P49" i="3"/>
  <c r="Q43" i="3"/>
  <c r="AI199" i="3"/>
  <c r="AJ196" i="3" s="1"/>
  <c r="Z136" i="3"/>
  <c r="AA133" i="3" s="1"/>
  <c r="BA366" i="3"/>
  <c r="BA374" i="3" s="1"/>
  <c r="BA368" i="3"/>
  <c r="BA369" i="3" a="1"/>
  <c r="BA369" i="3" s="1"/>
  <c r="T155" i="3" a="1"/>
  <c r="T155" i="3" s="1"/>
  <c r="T93" i="3"/>
  <c r="T94" i="3"/>
  <c r="T112" i="3"/>
  <c r="T111" i="3"/>
  <c r="T120" i="3"/>
  <c r="T121" i="3"/>
  <c r="T130" i="3"/>
  <c r="T131" i="3" s="1"/>
  <c r="T129" i="3"/>
  <c r="T84" i="3"/>
  <c r="T85" i="3"/>
  <c r="T138" i="3"/>
  <c r="T139" i="3"/>
  <c r="T148" i="3"/>
  <c r="T147" i="3"/>
  <c r="T102" i="3"/>
  <c r="T103" i="3"/>
  <c r="T104" i="3" s="1"/>
  <c r="K7" i="3"/>
  <c r="J13" i="3"/>
  <c r="AA16" i="4"/>
  <c r="AA18" i="4"/>
  <c r="AA29" i="6" s="1"/>
  <c r="AM7" i="2"/>
  <c r="AA22" i="5"/>
  <c r="AA27" i="4" s="1"/>
  <c r="Z15" i="7"/>
  <c r="AB29" i="5"/>
  <c r="AA18" i="7"/>
  <c r="AB25" i="5"/>
  <c r="AA16" i="7"/>
  <c r="AA28" i="4"/>
  <c r="AA35" i="6" s="1"/>
  <c r="AB5" i="2"/>
  <c r="E48" i="10"/>
  <c r="E47" i="10"/>
  <c r="AA5" i="4"/>
  <c r="AA8" i="2"/>
  <c r="Z20" i="6"/>
  <c r="Z27" i="6"/>
  <c r="Y21" i="6"/>
  <c r="AA32" i="6"/>
  <c r="Y28" i="6"/>
  <c r="Y31" i="6" s="1"/>
  <c r="BJ451" i="3" l="1"/>
  <c r="BK448" i="3" s="1"/>
  <c r="S55" i="3"/>
  <c r="T52" i="3" s="1"/>
  <c r="T53" i="3" s="1"/>
  <c r="S59" i="3"/>
  <c r="S56" i="3"/>
  <c r="AJ216" i="3" a="1"/>
  <c r="AJ216" i="3" s="1"/>
  <c r="AJ215" i="3"/>
  <c r="T75" i="3"/>
  <c r="AP260" i="3"/>
  <c r="AP262" i="3" s="1"/>
  <c r="AQ259" i="3" s="1"/>
  <c r="AQ261" i="3" s="1" a="1"/>
  <c r="AQ261" i="3" s="1"/>
  <c r="X96" i="3"/>
  <c r="X104" i="3" s="1"/>
  <c r="X98" i="3"/>
  <c r="BG424" i="3"/>
  <c r="BH421" i="3" s="1"/>
  <c r="BH422" i="3" s="1"/>
  <c r="V82" i="3"/>
  <c r="W79" i="3" s="1"/>
  <c r="W80" i="3" s="1"/>
  <c r="T64" i="3"/>
  <c r="U61" i="3" s="1"/>
  <c r="U60" i="3" s="1"/>
  <c r="U65" i="3" s="1"/>
  <c r="T66" i="3"/>
  <c r="AY352" i="3"/>
  <c r="AZ349" i="3" s="1"/>
  <c r="AZ351" i="3" s="1" a="1"/>
  <c r="AZ351" i="3" s="1"/>
  <c r="BG402" i="3"/>
  <c r="BG410" i="3" s="1"/>
  <c r="AL225" i="3" a="1"/>
  <c r="AL225" i="3" s="1"/>
  <c r="AL222" i="3"/>
  <c r="AL230" i="3" s="1"/>
  <c r="AL224" i="3"/>
  <c r="BG404" i="3"/>
  <c r="BG406" i="3" s="1"/>
  <c r="BH403" i="3" s="1"/>
  <c r="BH404" i="3" s="1"/>
  <c r="AT294" i="3"/>
  <c r="AT302" i="3" s="1"/>
  <c r="AB28" i="5"/>
  <c r="AA17" i="7"/>
  <c r="AH189" i="3" a="1"/>
  <c r="AH189" i="3" s="1"/>
  <c r="AT296" i="3"/>
  <c r="AT298" i="3" s="1"/>
  <c r="AU295" i="3" s="1"/>
  <c r="Y109" i="3"/>
  <c r="Z106" i="3" s="1"/>
  <c r="Z107" i="3" s="1"/>
  <c r="AB19" i="2"/>
  <c r="AE6" i="2"/>
  <c r="AE13" i="2" s="1"/>
  <c r="AA13" i="6"/>
  <c r="AA17" i="4"/>
  <c r="AA6" i="4"/>
  <c r="AG181" i="3"/>
  <c r="AH178" i="3" s="1"/>
  <c r="AH179" i="3" s="1"/>
  <c r="AH188" i="3"/>
  <c r="N25" i="3"/>
  <c r="N24" i="3" s="1"/>
  <c r="N29" i="3" s="1"/>
  <c r="AN242" i="3"/>
  <c r="AN243" i="3" a="1"/>
  <c r="AN243" i="3" s="1"/>
  <c r="V83" i="3"/>
  <c r="AE154" i="3"/>
  <c r="AF151" i="3" s="1"/>
  <c r="AF152" i="3" s="1"/>
  <c r="T156" i="3"/>
  <c r="U155" i="3"/>
  <c r="V155" i="3" s="1"/>
  <c r="W155" i="3" s="1"/>
  <c r="X155" i="3" s="1"/>
  <c r="Y155" i="3" s="1"/>
  <c r="Z155" i="3" s="1"/>
  <c r="AA155" i="3" s="1"/>
  <c r="AB155" i="3" s="1"/>
  <c r="AC155" i="3" s="1"/>
  <c r="AD155" i="3" s="1"/>
  <c r="AE155" i="3" s="1"/>
  <c r="BI442" i="3"/>
  <c r="BJ439" i="3" s="1"/>
  <c r="BJ441" i="3" s="1" a="1"/>
  <c r="BJ441" i="3" s="1"/>
  <c r="AA128" i="3"/>
  <c r="Y119" i="3"/>
  <c r="X90" i="3" a="1"/>
  <c r="X90" i="3" s="1"/>
  <c r="X87" i="3"/>
  <c r="X89" i="3"/>
  <c r="AC146" i="3"/>
  <c r="X101" i="3"/>
  <c r="Y110" i="3"/>
  <c r="U74" i="3"/>
  <c r="U75" i="3" s="1"/>
  <c r="M15" i="3"/>
  <c r="M18" i="3" a="1"/>
  <c r="M18" i="3" s="1"/>
  <c r="M17" i="3"/>
  <c r="O41" i="3"/>
  <c r="O38" i="3"/>
  <c r="O39" i="3" s="1"/>
  <c r="AD163" i="3"/>
  <c r="AE160" i="3" s="1"/>
  <c r="AE161" i="3" s="1"/>
  <c r="AY343" i="3"/>
  <c r="AZ340" i="3" s="1"/>
  <c r="U73" i="3"/>
  <c r="V70" i="3" s="1"/>
  <c r="V69" i="3" s="1"/>
  <c r="V77" i="3" s="1"/>
  <c r="AT285" i="3"/>
  <c r="AT293" i="3" s="1"/>
  <c r="AT288" i="3" a="1"/>
  <c r="AT288" i="3" s="1"/>
  <c r="AT289" i="3" s="1"/>
  <c r="AU286" i="3" s="1"/>
  <c r="BH415" i="3"/>
  <c r="BI412" i="3" s="1"/>
  <c r="BI414" i="3" s="1" a="1"/>
  <c r="BI414" i="3" s="1"/>
  <c r="BA370" i="3"/>
  <c r="BB367" i="3" s="1"/>
  <c r="BB369" i="3" s="1" a="1"/>
  <c r="BB369" i="3" s="1"/>
  <c r="O37" i="3"/>
  <c r="AU306" i="3" a="1"/>
  <c r="AU306" i="3" s="1"/>
  <c r="AU307" i="3" s="1"/>
  <c r="AV304" i="3" s="1"/>
  <c r="AU303" i="3"/>
  <c r="AU311" i="3" s="1"/>
  <c r="T157" i="3"/>
  <c r="AA127" i="3"/>
  <c r="AB124" i="3" s="1"/>
  <c r="AB125" i="3" s="1"/>
  <c r="AJ208" i="3"/>
  <c r="AK205" i="3" s="1"/>
  <c r="AK207" i="3" s="1" a="1"/>
  <c r="AK207" i="3" s="1"/>
  <c r="Q44" i="3"/>
  <c r="Q45" i="3" a="1"/>
  <c r="Q45" i="3" s="1"/>
  <c r="Q42" i="3"/>
  <c r="Q47" i="3" s="1"/>
  <c r="BG396" i="3" a="1"/>
  <c r="BG396" i="3" s="1"/>
  <c r="BG393" i="3"/>
  <c r="BG401" i="3" s="1"/>
  <c r="BG395" i="3"/>
  <c r="AO253" i="3"/>
  <c r="AP250" i="3" s="1"/>
  <c r="AF170" i="3"/>
  <c r="AF168" i="3"/>
  <c r="AF176" i="3" s="1"/>
  <c r="AF171" i="3" a="1"/>
  <c r="AF171" i="3" s="1"/>
  <c r="X100" i="3"/>
  <c r="Y97" i="3" s="1"/>
  <c r="AV325" i="3"/>
  <c r="AW322" i="3" s="1"/>
  <c r="AR267" i="3"/>
  <c r="AR275" i="3" s="1"/>
  <c r="AR269" i="3"/>
  <c r="AR270" i="3" a="1"/>
  <c r="AR270" i="3" s="1"/>
  <c r="AU316" i="3"/>
  <c r="AV313" i="3" s="1"/>
  <c r="BK447" i="3"/>
  <c r="BK455" i="3" s="1"/>
  <c r="BK450" i="3" a="1"/>
  <c r="BK450" i="3" s="1"/>
  <c r="BK449" i="3"/>
  <c r="Y118" i="3"/>
  <c r="Z115" i="3" s="1"/>
  <c r="AC145" i="3"/>
  <c r="AD142" i="3" s="1"/>
  <c r="AZ361" i="3"/>
  <c r="BA358" i="3" s="1"/>
  <c r="BH433" i="3"/>
  <c r="BI430" i="3" s="1"/>
  <c r="AA134" i="3"/>
  <c r="AA135" i="3" a="1"/>
  <c r="AA135" i="3" s="1"/>
  <c r="AA132" i="3"/>
  <c r="BD386" i="3"/>
  <c r="BD384" i="3"/>
  <c r="BD392" i="3" s="1"/>
  <c r="BD387" i="3" a="1"/>
  <c r="BD387" i="3" s="1"/>
  <c r="AJ213" i="3"/>
  <c r="AJ221" i="3" s="1"/>
  <c r="AJ198" i="3" a="1"/>
  <c r="AJ198" i="3" s="1"/>
  <c r="AJ197" i="3"/>
  <c r="AJ195" i="3"/>
  <c r="AJ203" i="3" s="1"/>
  <c r="BC379" i="3"/>
  <c r="BD376" i="3" s="1"/>
  <c r="AL235" i="3"/>
  <c r="AM232" i="3" s="1"/>
  <c r="BK460" i="3"/>
  <c r="AQ280" i="3"/>
  <c r="AR277" i="3" s="1"/>
  <c r="BH420" i="3"/>
  <c r="BH428" i="3" s="1"/>
  <c r="AX330" i="3"/>
  <c r="AX338" i="3" s="1"/>
  <c r="AX332" i="3"/>
  <c r="AX333" i="3" a="1"/>
  <c r="AX333" i="3" s="1"/>
  <c r="U164" i="3" a="1"/>
  <c r="U164" i="3" s="1"/>
  <c r="V164" i="3" s="1"/>
  <c r="W164" i="3" s="1"/>
  <c r="X164" i="3" s="1"/>
  <c r="Y164" i="3" s="1"/>
  <c r="Z164" i="3" s="1"/>
  <c r="AA164" i="3" s="1"/>
  <c r="AB164" i="3" s="1"/>
  <c r="AC164" i="3" s="1"/>
  <c r="AD164" i="3" s="1"/>
  <c r="J3" i="3"/>
  <c r="Q22" i="2" s="1"/>
  <c r="Q14" i="6" s="1"/>
  <c r="J14" i="3"/>
  <c r="J4" i="3" s="1"/>
  <c r="U103" i="3"/>
  <c r="U102" i="3"/>
  <c r="U138" i="3"/>
  <c r="U139" i="3"/>
  <c r="U140" i="3" s="1"/>
  <c r="U120" i="3"/>
  <c r="U121" i="3"/>
  <c r="U93" i="3"/>
  <c r="U94" i="3"/>
  <c r="U84" i="3"/>
  <c r="U85" i="3"/>
  <c r="U111" i="3"/>
  <c r="U112" i="3"/>
  <c r="U113" i="3" s="1"/>
  <c r="U147" i="3"/>
  <c r="U148" i="3"/>
  <c r="U129" i="3"/>
  <c r="U130" i="3"/>
  <c r="K9" i="3" a="1"/>
  <c r="K9" i="3" s="1"/>
  <c r="K8" i="3"/>
  <c r="K6" i="3"/>
  <c r="K11" i="3" s="1"/>
  <c r="AB16" i="4"/>
  <c r="AB18" i="4"/>
  <c r="AN7" i="2"/>
  <c r="AC25" i="5"/>
  <c r="AB16" i="7"/>
  <c r="AB28" i="4"/>
  <c r="AB35" i="6" s="1"/>
  <c r="AC29" i="5"/>
  <c r="AB18" i="7"/>
  <c r="AB22" i="5"/>
  <c r="AB27" i="4" s="1"/>
  <c r="AA15" i="7"/>
  <c r="Z31" i="6"/>
  <c r="AC5" i="2"/>
  <c r="AB5" i="4"/>
  <c r="AB8" i="2"/>
  <c r="Z34" i="6"/>
  <c r="AA34" i="6"/>
  <c r="AA27" i="6"/>
  <c r="AB32" i="6"/>
  <c r="AA20" i="6"/>
  <c r="T54" i="3" l="1" a="1"/>
  <c r="T54" i="3" s="1"/>
  <c r="T55" i="3" s="1"/>
  <c r="U52" i="3" s="1"/>
  <c r="T51" i="3"/>
  <c r="T59" i="3" s="1"/>
  <c r="S57" i="3"/>
  <c r="S58" i="3"/>
  <c r="BH423" i="3" a="1"/>
  <c r="BH423" i="3" s="1"/>
  <c r="BH424" i="3" s="1"/>
  <c r="BI421" i="3" s="1"/>
  <c r="BI422" i="3" s="1"/>
  <c r="AJ217" i="3"/>
  <c r="AK214" i="3" s="1"/>
  <c r="AK213" i="3" s="1"/>
  <c r="AK221" i="3" s="1"/>
  <c r="W78" i="3"/>
  <c r="W86" i="3" s="1"/>
  <c r="U62" i="3"/>
  <c r="W81" i="3" a="1"/>
  <c r="W81" i="3" s="1"/>
  <c r="W82" i="3" s="1"/>
  <c r="X79" i="3" s="1"/>
  <c r="V72" i="3" a="1"/>
  <c r="V72" i="3" s="1"/>
  <c r="AZ350" i="3"/>
  <c r="AZ352" i="3" s="1"/>
  <c r="BA349" i="3" s="1"/>
  <c r="AZ348" i="3"/>
  <c r="AZ356" i="3" s="1"/>
  <c r="U63" i="3" a="1"/>
  <c r="U63" i="3" s="1"/>
  <c r="U66" i="3" s="1"/>
  <c r="U68" i="3"/>
  <c r="BJ440" i="3"/>
  <c r="BJ442" i="3" s="1"/>
  <c r="BK439" i="3" s="1"/>
  <c r="BJ438" i="3"/>
  <c r="BJ446" i="3" s="1"/>
  <c r="AH177" i="3"/>
  <c r="AH185" i="3" s="1"/>
  <c r="T67" i="3"/>
  <c r="AL226" i="3"/>
  <c r="AM223" i="3" s="1"/>
  <c r="N27" i="3" a="1"/>
  <c r="N27" i="3" s="1"/>
  <c r="N30" i="3" s="1"/>
  <c r="Z105" i="3"/>
  <c r="Z113" i="3" s="1"/>
  <c r="N26" i="3"/>
  <c r="Z108" i="3" a="1"/>
  <c r="Z108" i="3" s="1"/>
  <c r="Z109" i="3" s="1"/>
  <c r="AA106" i="3" s="1"/>
  <c r="AA108" i="3" s="1" a="1"/>
  <c r="AA108" i="3" s="1"/>
  <c r="AQ258" i="3"/>
  <c r="AQ266" i="3" s="1"/>
  <c r="V71" i="3"/>
  <c r="AQ260" i="3"/>
  <c r="AQ262" i="3" s="1"/>
  <c r="AR259" i="3" s="1"/>
  <c r="BI411" i="3"/>
  <c r="BI419" i="3" s="1"/>
  <c r="BI413" i="3"/>
  <c r="BI415" i="3" s="1"/>
  <c r="BJ412" i="3" s="1"/>
  <c r="BH405" i="3" a="1"/>
  <c r="BH405" i="3" s="1"/>
  <c r="BH406" i="3" s="1"/>
  <c r="BI403" i="3" s="1"/>
  <c r="AH180" i="3" a="1"/>
  <c r="AH180" i="3" s="1"/>
  <c r="AH181" i="3" s="1"/>
  <c r="AI178" i="3" s="1"/>
  <c r="BH402" i="3"/>
  <c r="BH410" i="3" s="1"/>
  <c r="AH190" i="3"/>
  <c r="AI187" i="3" s="1"/>
  <c r="AI189" i="3" s="1" a="1"/>
  <c r="AI189" i="3" s="1"/>
  <c r="AC28" i="5"/>
  <c r="AB17" i="7"/>
  <c r="AC19" i="2"/>
  <c r="AF6" i="2"/>
  <c r="AF13" i="2" s="1"/>
  <c r="AN244" i="3"/>
  <c r="AO241" i="3" s="1"/>
  <c r="AO240" i="3" s="1"/>
  <c r="AO248" i="3" s="1"/>
  <c r="AB13" i="6"/>
  <c r="AB17" i="4"/>
  <c r="AB28" i="6" s="1"/>
  <c r="AB6" i="4"/>
  <c r="AB21" i="6" s="1"/>
  <c r="X91" i="3"/>
  <c r="Y88" i="3" s="1"/>
  <c r="Y90" i="3" s="1" a="1"/>
  <c r="Y90" i="3" s="1"/>
  <c r="U157" i="3"/>
  <c r="U156" i="3"/>
  <c r="AF153" i="3" a="1"/>
  <c r="AF153" i="3" s="1"/>
  <c r="AF154" i="3" s="1"/>
  <c r="AG151" i="3" s="1"/>
  <c r="AF150" i="3"/>
  <c r="AF158" i="3" s="1"/>
  <c r="U76" i="3"/>
  <c r="BB366" i="3"/>
  <c r="BB374" i="3" s="1"/>
  <c r="AA140" i="3"/>
  <c r="AA137" i="3"/>
  <c r="AK206" i="3"/>
  <c r="AK208" i="3" s="1"/>
  <c r="AL205" i="3" s="1"/>
  <c r="AK204" i="3"/>
  <c r="AK212" i="3" s="1"/>
  <c r="K5" i="3"/>
  <c r="BB368" i="3"/>
  <c r="BB370" i="3" s="1"/>
  <c r="BC367" i="3" s="1"/>
  <c r="BC369" i="3" s="1" a="1"/>
  <c r="BC369" i="3" s="1"/>
  <c r="X95" i="3"/>
  <c r="X92" i="3"/>
  <c r="V74" i="3"/>
  <c r="M19" i="3"/>
  <c r="M23" i="3"/>
  <c r="M20" i="3"/>
  <c r="AE159" i="3"/>
  <c r="AE167" i="3" s="1"/>
  <c r="AE162" i="3" a="1"/>
  <c r="AE162" i="3" s="1"/>
  <c r="AE163" i="3" s="1"/>
  <c r="AF160" i="3" s="1"/>
  <c r="AZ339" i="3"/>
  <c r="AZ347" i="3" s="1"/>
  <c r="AZ342" i="3" a="1"/>
  <c r="AZ342" i="3" s="1"/>
  <c r="AZ341" i="3"/>
  <c r="AJ199" i="3"/>
  <c r="AK196" i="3" s="1"/>
  <c r="AK198" i="3" s="1" a="1"/>
  <c r="AK198" i="3" s="1"/>
  <c r="AX334" i="3"/>
  <c r="AY331" i="3" s="1"/>
  <c r="AY333" i="3" s="1" a="1"/>
  <c r="AY333" i="3" s="1"/>
  <c r="AB126" i="3" a="1"/>
  <c r="AB126" i="3" s="1"/>
  <c r="AB127" i="3" s="1"/>
  <c r="AC124" i="3" s="1"/>
  <c r="P34" i="3"/>
  <c r="O40" i="3"/>
  <c r="AB123" i="3"/>
  <c r="AB131" i="3" s="1"/>
  <c r="AD141" i="3"/>
  <c r="AD149" i="3" s="1"/>
  <c r="AD143" i="3"/>
  <c r="AD144" i="3" a="1"/>
  <c r="AD144" i="3" s="1"/>
  <c r="U165" i="3"/>
  <c r="AV305" i="3"/>
  <c r="AV303" i="3"/>
  <c r="AV311" i="3" s="1"/>
  <c r="AV306" i="3" a="1"/>
  <c r="AV306" i="3" s="1"/>
  <c r="N32" i="3"/>
  <c r="BK451" i="3"/>
  <c r="AR276" i="3"/>
  <c r="AR284" i="3" s="1"/>
  <c r="AR278" i="3"/>
  <c r="AR279" i="3" a="1"/>
  <c r="AR279" i="3" s="1"/>
  <c r="BD375" i="3"/>
  <c r="BD383" i="3" s="1"/>
  <c r="BD378" i="3" a="1"/>
  <c r="BD378" i="3" s="1"/>
  <c r="BD377" i="3"/>
  <c r="BD388" i="3"/>
  <c r="BE385" i="3" s="1"/>
  <c r="AR271" i="3"/>
  <c r="AS268" i="3" s="1"/>
  <c r="AF172" i="3"/>
  <c r="AG169" i="3" s="1"/>
  <c r="Q50" i="3"/>
  <c r="Q48" i="3"/>
  <c r="U166" i="3"/>
  <c r="AV314" i="3"/>
  <c r="AV312" i="3"/>
  <c r="AV320" i="3" s="1"/>
  <c r="AV315" i="3" a="1"/>
  <c r="AV315" i="3" s="1"/>
  <c r="Z117" i="3" a="1"/>
  <c r="Z117" i="3" s="1"/>
  <c r="Z116" i="3"/>
  <c r="Z114" i="3"/>
  <c r="Z122" i="3" s="1"/>
  <c r="AU285" i="3"/>
  <c r="AU293" i="3" s="1"/>
  <c r="AU287" i="3"/>
  <c r="AU288" i="3" a="1"/>
  <c r="AU288" i="3" s="1"/>
  <c r="AP251" i="3"/>
  <c r="AP249" i="3"/>
  <c r="AP257" i="3" s="1"/>
  <c r="AP252" i="3" a="1"/>
  <c r="AP252" i="3" s="1"/>
  <c r="Q46" i="3"/>
  <c r="AU297" i="3" a="1"/>
  <c r="AU297" i="3" s="1"/>
  <c r="AU294" i="3"/>
  <c r="AU302" i="3" s="1"/>
  <c r="AU296" i="3"/>
  <c r="AM233" i="3"/>
  <c r="AM231" i="3"/>
  <c r="AM239" i="3" s="1"/>
  <c r="AM234" i="3" a="1"/>
  <c r="AM234" i="3" s="1"/>
  <c r="BI431" i="3"/>
  <c r="BI429" i="3"/>
  <c r="BI437" i="3" s="1"/>
  <c r="BI432" i="3" a="1"/>
  <c r="BI432" i="3" s="1"/>
  <c r="AW324" i="3" a="1"/>
  <c r="AW324" i="3" s="1"/>
  <c r="AW323" i="3"/>
  <c r="AW321" i="3"/>
  <c r="AW329" i="3" s="1"/>
  <c r="AA136" i="3"/>
  <c r="AB133" i="3" s="1"/>
  <c r="BA359" i="3"/>
  <c r="BA357" i="3"/>
  <c r="BA365" i="3" s="1"/>
  <c r="BA360" i="3" a="1"/>
  <c r="BA360" i="3" s="1"/>
  <c r="Y98" i="3"/>
  <c r="Y96" i="3"/>
  <c r="Y104" i="3" s="1"/>
  <c r="Y99" i="3" a="1"/>
  <c r="Y99" i="3" s="1"/>
  <c r="BG397" i="3"/>
  <c r="BH394" i="3" s="1"/>
  <c r="V173" i="3" a="1"/>
  <c r="V173" i="3" s="1"/>
  <c r="V85" i="3"/>
  <c r="V84" i="3"/>
  <c r="V148" i="3"/>
  <c r="V149" i="3" s="1"/>
  <c r="V147" i="3"/>
  <c r="V166" i="3"/>
  <c r="V165" i="3"/>
  <c r="V156" i="3"/>
  <c r="V157" i="3"/>
  <c r="V102" i="3"/>
  <c r="V103" i="3"/>
  <c r="V129" i="3"/>
  <c r="V130" i="3"/>
  <c r="V93" i="3"/>
  <c r="V94" i="3"/>
  <c r="V120" i="3"/>
  <c r="V121" i="3"/>
  <c r="V122" i="3" s="1"/>
  <c r="V111" i="3"/>
  <c r="V112" i="3"/>
  <c r="V138" i="3"/>
  <c r="V139" i="3"/>
  <c r="K10" i="3"/>
  <c r="L7" i="3" s="1"/>
  <c r="K14" i="3"/>
  <c r="K4" i="3" s="1"/>
  <c r="AC18" i="4"/>
  <c r="AC29" i="6" s="1"/>
  <c r="AC16" i="4"/>
  <c r="AO7" i="2"/>
  <c r="AC22" i="5"/>
  <c r="AC27" i="4" s="1"/>
  <c r="AB15" i="7"/>
  <c r="AD29" i="5"/>
  <c r="AC18" i="7"/>
  <c r="AD25" i="5"/>
  <c r="AC16" i="7"/>
  <c r="AC28" i="4"/>
  <c r="AC35" i="6" s="1"/>
  <c r="AD5" i="2"/>
  <c r="AC5" i="4"/>
  <c r="AC8" i="2"/>
  <c r="AB29" i="6"/>
  <c r="AB27" i="6"/>
  <c r="AA21" i="6"/>
  <c r="AB34" i="6"/>
  <c r="AA28" i="6"/>
  <c r="AA31" i="6" s="1"/>
  <c r="AC32" i="6"/>
  <c r="AB20" i="6"/>
  <c r="T56" i="3" l="1"/>
  <c r="U53" i="3"/>
  <c r="U51" i="3"/>
  <c r="U59" i="3" s="1"/>
  <c r="U54" i="3" a="1"/>
  <c r="U54" i="3" s="1"/>
  <c r="W83" i="3"/>
  <c r="W84" i="3" s="1"/>
  <c r="T58" i="3"/>
  <c r="U64" i="3"/>
  <c r="V61" i="3" s="1"/>
  <c r="V60" i="3" s="1"/>
  <c r="V65" i="3" s="1"/>
  <c r="V75" i="3"/>
  <c r="V73" i="3"/>
  <c r="W70" i="3" s="1"/>
  <c r="W72" i="3" s="1" a="1"/>
  <c r="W72" i="3" s="1"/>
  <c r="N28" i="3"/>
  <c r="O25" i="3" s="1"/>
  <c r="O24" i="3" s="1"/>
  <c r="Z110" i="3"/>
  <c r="Y89" i="3"/>
  <c r="Y91" i="3" s="1"/>
  <c r="Z88" i="3" s="1"/>
  <c r="AM224" i="3"/>
  <c r="AM222" i="3"/>
  <c r="AM230" i="3" s="1"/>
  <c r="AM225" i="3" a="1"/>
  <c r="AM225" i="3" s="1"/>
  <c r="Y87" i="3"/>
  <c r="Y95" i="3" s="1"/>
  <c r="AR260" i="3"/>
  <c r="AR258" i="3"/>
  <c r="AR266" i="3" s="1"/>
  <c r="AR261" i="3" a="1"/>
  <c r="AR261" i="3" s="1"/>
  <c r="AI186" i="3"/>
  <c r="AI194" i="3" s="1"/>
  <c r="AI188" i="3"/>
  <c r="AI190" i="3" s="1"/>
  <c r="AJ187" i="3" s="1"/>
  <c r="AK197" i="3"/>
  <c r="AK199" i="3" s="1"/>
  <c r="AL196" i="3" s="1"/>
  <c r="AD28" i="5"/>
  <c r="AC17" i="7"/>
  <c r="AO243" i="3" a="1"/>
  <c r="AO243" i="3" s="1"/>
  <c r="AO242" i="3"/>
  <c r="AK216" i="3" a="1"/>
  <c r="AK216" i="3" s="1"/>
  <c r="AK215" i="3"/>
  <c r="AC13" i="6"/>
  <c r="AC17" i="4"/>
  <c r="AC28" i="6" s="1"/>
  <c r="AC6" i="4"/>
  <c r="AC21" i="6" s="1"/>
  <c r="AD19" i="2"/>
  <c r="AG6" i="2"/>
  <c r="AG13" i="2" s="1"/>
  <c r="AF155" i="3"/>
  <c r="AG153" i="3" a="1"/>
  <c r="AG153" i="3" s="1"/>
  <c r="AG150" i="3"/>
  <c r="AG158" i="3" s="1"/>
  <c r="AG152" i="3"/>
  <c r="AB128" i="3"/>
  <c r="Z118" i="3"/>
  <c r="AA115" i="3" s="1"/>
  <c r="AA114" i="3" s="1"/>
  <c r="AA122" i="3" s="1"/>
  <c r="AD146" i="3"/>
  <c r="AW325" i="3"/>
  <c r="AX322" i="3" s="1"/>
  <c r="AX323" i="3" s="1"/>
  <c r="V174" i="3"/>
  <c r="W173" i="3"/>
  <c r="X173" i="3" s="1"/>
  <c r="Y173" i="3" s="1"/>
  <c r="Z173" i="3" s="1"/>
  <c r="AA173" i="3" s="1"/>
  <c r="AB173" i="3" s="1"/>
  <c r="AC173" i="3" s="1"/>
  <c r="AD173" i="3" s="1"/>
  <c r="AE173" i="3" s="1"/>
  <c r="AF173" i="3" s="1"/>
  <c r="AE164" i="3"/>
  <c r="Y101" i="3"/>
  <c r="Z119" i="3"/>
  <c r="M21" i="3"/>
  <c r="N16" i="3"/>
  <c r="M22" i="3"/>
  <c r="AZ343" i="3"/>
  <c r="BA340" i="3" s="1"/>
  <c r="BI420" i="3"/>
  <c r="BI428" i="3" s="1"/>
  <c r="BC368" i="3"/>
  <c r="BC370" i="3" s="1"/>
  <c r="BD367" i="3" s="1"/>
  <c r="BI423" i="3" a="1"/>
  <c r="BI423" i="3" s="1"/>
  <c r="BI424" i="3" s="1"/>
  <c r="BJ421" i="3" s="1"/>
  <c r="BK438" i="3"/>
  <c r="BK446" i="3" s="1"/>
  <c r="BK440" i="3"/>
  <c r="BK441" i="3" a="1"/>
  <c r="BK441" i="3" s="1"/>
  <c r="AA107" i="3"/>
  <c r="AA109" i="3" s="1"/>
  <c r="AB106" i="3" s="1"/>
  <c r="AA105" i="3"/>
  <c r="AY332" i="3"/>
  <c r="AY334" i="3" s="1"/>
  <c r="AZ331" i="3" s="1"/>
  <c r="AY330" i="3"/>
  <c r="AY338" i="3" s="1"/>
  <c r="K13" i="3"/>
  <c r="K3" i="3" s="1"/>
  <c r="R22" i="2" s="1"/>
  <c r="R14" i="6" s="1"/>
  <c r="AK195" i="3"/>
  <c r="AK203" i="3" s="1"/>
  <c r="BC366" i="3"/>
  <c r="BC374" i="3" s="1"/>
  <c r="AF159" i="3"/>
  <c r="AF167" i="3" s="1"/>
  <c r="AF161" i="3"/>
  <c r="AF162" i="3" a="1"/>
  <c r="AF162" i="3" s="1"/>
  <c r="AC123" i="3"/>
  <c r="AC131" i="3" s="1"/>
  <c r="AC126" i="3" a="1"/>
  <c r="AC126" i="3" s="1"/>
  <c r="AC125" i="3"/>
  <c r="AI179" i="3"/>
  <c r="AI177" i="3"/>
  <c r="AI185" i="3" s="1"/>
  <c r="P33" i="3"/>
  <c r="P38" i="3" s="1"/>
  <c r="P36" i="3" a="1"/>
  <c r="P36" i="3" s="1"/>
  <c r="P35" i="3"/>
  <c r="AI180" i="3" a="1"/>
  <c r="AI180" i="3" s="1"/>
  <c r="V175" i="3"/>
  <c r="AU289" i="3"/>
  <c r="AV286" i="3" s="1"/>
  <c r="AV287" i="3" s="1"/>
  <c r="Y100" i="3"/>
  <c r="Z97" i="3" s="1"/>
  <c r="Z96" i="3" s="1"/>
  <c r="Z104" i="3" s="1"/>
  <c r="BJ411" i="3"/>
  <c r="BJ419" i="3" s="1"/>
  <c r="BJ414" i="3" a="1"/>
  <c r="BJ414" i="3" s="1"/>
  <c r="BJ413" i="3"/>
  <c r="AL206" i="3"/>
  <c r="AL204" i="3"/>
  <c r="AL212" i="3" s="1"/>
  <c r="AL207" i="3" a="1"/>
  <c r="AL207" i="3" s="1"/>
  <c r="BI433" i="3"/>
  <c r="BJ430" i="3" s="1"/>
  <c r="AP253" i="3"/>
  <c r="AQ250" i="3" s="1"/>
  <c r="X78" i="3"/>
  <c r="X86" i="3" s="1"/>
  <c r="X80" i="3"/>
  <c r="X81" i="3" a="1"/>
  <c r="X81" i="3" s="1"/>
  <c r="AD145" i="3"/>
  <c r="AE142" i="3" s="1"/>
  <c r="BA351" i="3" a="1"/>
  <c r="BA351" i="3" s="1"/>
  <c r="BA348" i="3"/>
  <c r="BA356" i="3" s="1"/>
  <c r="BA350" i="3"/>
  <c r="AG170" i="3"/>
  <c r="AG171" i="3" a="1"/>
  <c r="AG171" i="3" s="1"/>
  <c r="AG168" i="3"/>
  <c r="AG176" i="3" s="1"/>
  <c r="BE384" i="3"/>
  <c r="BE392" i="3" s="1"/>
  <c r="BE386" i="3"/>
  <c r="BE387" i="3" a="1"/>
  <c r="BE387" i="3" s="1"/>
  <c r="AB135" i="3" a="1"/>
  <c r="AB135" i="3" s="1"/>
  <c r="AB132" i="3"/>
  <c r="AB140" i="3" s="1"/>
  <c r="AB134" i="3"/>
  <c r="AV316" i="3"/>
  <c r="AW313" i="3" s="1"/>
  <c r="AS267" i="3"/>
  <c r="AS275" i="3" s="1"/>
  <c r="AS270" i="3" a="1"/>
  <c r="AS270" i="3" s="1"/>
  <c r="AS269" i="3"/>
  <c r="BD379" i="3"/>
  <c r="BE376" i="3" s="1"/>
  <c r="BH395" i="3"/>
  <c r="BH393" i="3"/>
  <c r="BH401" i="3" s="1"/>
  <c r="BH396" i="3" a="1"/>
  <c r="BH396" i="3" s="1"/>
  <c r="AM235" i="3"/>
  <c r="AN232" i="3" s="1"/>
  <c r="AR280" i="3"/>
  <c r="AS277" i="3" s="1"/>
  <c r="Q49" i="3"/>
  <c r="R43" i="3"/>
  <c r="N31" i="3"/>
  <c r="AV307" i="3"/>
  <c r="AW304" i="3" s="1"/>
  <c r="BA361" i="3"/>
  <c r="BB358" i="3" s="1"/>
  <c r="AU298" i="3"/>
  <c r="AV295" i="3" s="1"/>
  <c r="BI402" i="3"/>
  <c r="BI410" i="3" s="1"/>
  <c r="BI404" i="3"/>
  <c r="BI405" i="3" a="1"/>
  <c r="BI405" i="3" s="1"/>
  <c r="O26" i="3"/>
  <c r="W182" i="3" a="1"/>
  <c r="W182" i="3" s="1"/>
  <c r="W129" i="3"/>
  <c r="W130" i="3"/>
  <c r="W131" i="3" s="1"/>
  <c r="W138" i="3"/>
  <c r="W139" i="3"/>
  <c r="W165" i="3"/>
  <c r="W166" i="3"/>
  <c r="W121" i="3"/>
  <c r="W120" i="3"/>
  <c r="W111" i="3"/>
  <c r="W112" i="3"/>
  <c r="W102" i="3"/>
  <c r="W103" i="3"/>
  <c r="W93" i="3"/>
  <c r="W94" i="3"/>
  <c r="W156" i="3"/>
  <c r="W157" i="3"/>
  <c r="W158" i="3" s="1"/>
  <c r="W147" i="3"/>
  <c r="W148" i="3"/>
  <c r="L9" i="3" a="1"/>
  <c r="L9" i="3" s="1"/>
  <c r="L6" i="3"/>
  <c r="L8" i="3"/>
  <c r="K12" i="3"/>
  <c r="K2" i="3" s="1"/>
  <c r="AD18" i="4"/>
  <c r="AD29" i="6" s="1"/>
  <c r="AD16" i="4"/>
  <c r="AP7" i="2"/>
  <c r="AE29" i="5"/>
  <c r="AD18" i="7"/>
  <c r="AE25" i="5"/>
  <c r="AD16" i="7"/>
  <c r="AD28" i="4"/>
  <c r="AD35" i="6" s="1"/>
  <c r="AD22" i="5"/>
  <c r="AD27" i="4" s="1"/>
  <c r="AC15" i="7"/>
  <c r="AB31" i="6"/>
  <c r="AE5" i="2"/>
  <c r="AD5" i="4"/>
  <c r="AD8" i="2"/>
  <c r="AC34" i="6"/>
  <c r="AC20" i="6"/>
  <c r="AC27" i="6"/>
  <c r="AD32" i="6"/>
  <c r="W85" i="3" l="1"/>
  <c r="U55" i="3"/>
  <c r="U56" i="3"/>
  <c r="U57" i="3" s="1"/>
  <c r="T57" i="3"/>
  <c r="O27" i="3" a="1"/>
  <c r="O27" i="3" s="1"/>
  <c r="W69" i="3"/>
  <c r="W74" i="3" s="1"/>
  <c r="V62" i="3"/>
  <c r="U67" i="3"/>
  <c r="V63" i="3" a="1"/>
  <c r="V63" i="3" s="1"/>
  <c r="V66" i="3" s="1"/>
  <c r="V68" i="3"/>
  <c r="W71" i="3"/>
  <c r="W73" i="3" s="1"/>
  <c r="V76" i="3"/>
  <c r="AR262" i="3"/>
  <c r="AS259" i="3" s="1"/>
  <c r="AS261" i="3" s="1" a="1"/>
  <c r="AS261" i="3" s="1"/>
  <c r="Y92" i="3"/>
  <c r="AM226" i="3"/>
  <c r="AN223" i="3" s="1"/>
  <c r="AO244" i="3"/>
  <c r="AP241" i="3" s="1"/>
  <c r="AP243" i="3" s="1" a="1"/>
  <c r="AP243" i="3" s="1"/>
  <c r="AA116" i="3"/>
  <c r="L14" i="3"/>
  <c r="L4" i="3" s="1"/>
  <c r="L11" i="3"/>
  <c r="L5" i="3" s="1"/>
  <c r="AE28" i="5"/>
  <c r="AD17" i="7"/>
  <c r="AK217" i="3"/>
  <c r="AL214" i="3" s="1"/>
  <c r="AL215" i="3" s="1"/>
  <c r="AJ189" i="3" a="1"/>
  <c r="AJ189" i="3" s="1"/>
  <c r="AJ186" i="3"/>
  <c r="AJ194" i="3" s="1"/>
  <c r="AJ188" i="3"/>
  <c r="AD13" i="6"/>
  <c r="AD17" i="4"/>
  <c r="AD6" i="4"/>
  <c r="AD21" i="6" s="1"/>
  <c r="AE19" i="2"/>
  <c r="AH6" i="2"/>
  <c r="AH13" i="2" s="1"/>
  <c r="AG155" i="3"/>
  <c r="AG154" i="3"/>
  <c r="AH151" i="3" s="1"/>
  <c r="AH153" i="3" s="1" a="1"/>
  <c r="AH153" i="3" s="1"/>
  <c r="AX321" i="3"/>
  <c r="AX329" i="3" s="1"/>
  <c r="AG173" i="3"/>
  <c r="AC128" i="3"/>
  <c r="AX324" i="3" a="1"/>
  <c r="AX324" i="3" s="1"/>
  <c r="AX325" i="3" s="1"/>
  <c r="AY322" i="3" s="1"/>
  <c r="W174" i="3"/>
  <c r="AB107" i="3"/>
  <c r="AB105" i="3"/>
  <c r="AB113" i="3" s="1"/>
  <c r="AC127" i="3"/>
  <c r="AD124" i="3" s="1"/>
  <c r="AD123" i="3" s="1"/>
  <c r="AD131" i="3" s="1"/>
  <c r="AF164" i="3"/>
  <c r="X83" i="3"/>
  <c r="Z98" i="3"/>
  <c r="AA113" i="3"/>
  <c r="AA110" i="3"/>
  <c r="Z87" i="3"/>
  <c r="Z90" i="3" a="1"/>
  <c r="Z90" i="3" s="1"/>
  <c r="Z89" i="3"/>
  <c r="AB137" i="3"/>
  <c r="W183" i="3"/>
  <c r="X182" i="3"/>
  <c r="Y182" i="3" s="1"/>
  <c r="Z182" i="3" s="1"/>
  <c r="AA182" i="3" s="1"/>
  <c r="AB182" i="3" s="1"/>
  <c r="AC182" i="3" s="1"/>
  <c r="AD182" i="3" s="1"/>
  <c r="AE182" i="3" s="1"/>
  <c r="AF182" i="3" s="1"/>
  <c r="AG182" i="3" s="1"/>
  <c r="AH182" i="3" s="1"/>
  <c r="AI182" i="3" s="1"/>
  <c r="AA119" i="3"/>
  <c r="Z99" i="3" a="1"/>
  <c r="Z99" i="3" s="1"/>
  <c r="AA117" i="3" a="1"/>
  <c r="AA117" i="3" s="1"/>
  <c r="BK442" i="3"/>
  <c r="Z101" i="3"/>
  <c r="N17" i="3"/>
  <c r="N15" i="3"/>
  <c r="N18" i="3" a="1"/>
  <c r="N18" i="3" s="1"/>
  <c r="O32" i="3"/>
  <c r="O29" i="3"/>
  <c r="W175" i="3"/>
  <c r="AI181" i="3"/>
  <c r="AJ178" i="3" s="1"/>
  <c r="AJ180" i="3" s="1" a="1"/>
  <c r="AJ180" i="3" s="1"/>
  <c r="BA342" i="3" a="1"/>
  <c r="BA342" i="3" s="1"/>
  <c r="BA341" i="3"/>
  <c r="BA339" i="3"/>
  <c r="BA347" i="3" s="1"/>
  <c r="AF163" i="3"/>
  <c r="AG160" i="3" s="1"/>
  <c r="AV288" i="3" a="1"/>
  <c r="AV288" i="3" s="1"/>
  <c r="AV289" i="3" s="1"/>
  <c r="AW286" i="3" s="1"/>
  <c r="AV285" i="3"/>
  <c r="AV293" i="3" s="1"/>
  <c r="BA352" i="3"/>
  <c r="BB349" i="3" s="1"/>
  <c r="BB350" i="3" s="1"/>
  <c r="BE388" i="3"/>
  <c r="BF385" i="3" s="1"/>
  <c r="BF387" i="3" s="1" a="1"/>
  <c r="BF387" i="3" s="1"/>
  <c r="P37" i="3"/>
  <c r="AB108" i="3" a="1"/>
  <c r="AB108" i="3" s="1"/>
  <c r="P41" i="3"/>
  <c r="P39" i="3"/>
  <c r="AL208" i="3"/>
  <c r="AM205" i="3" s="1"/>
  <c r="AM204" i="3" s="1"/>
  <c r="AM212" i="3" s="1"/>
  <c r="AS271" i="3"/>
  <c r="AT268" i="3" s="1"/>
  <c r="X82" i="3"/>
  <c r="Y79" i="3" s="1"/>
  <c r="BJ415" i="3"/>
  <c r="BK412" i="3" s="1"/>
  <c r="R45" i="3" a="1"/>
  <c r="R45" i="3" s="1"/>
  <c r="R42" i="3"/>
  <c r="R47" i="3" s="1"/>
  <c r="R44" i="3"/>
  <c r="AN234" i="3" a="1"/>
  <c r="AN234" i="3" s="1"/>
  <c r="AN233" i="3"/>
  <c r="AN231" i="3"/>
  <c r="AN239" i="3" s="1"/>
  <c r="BI406" i="3"/>
  <c r="BJ403" i="3" s="1"/>
  <c r="AL195" i="3"/>
  <c r="AL203" i="3" s="1"/>
  <c r="AL198" i="3" a="1"/>
  <c r="AL198" i="3" s="1"/>
  <c r="AL197" i="3"/>
  <c r="AE144" i="3" a="1"/>
  <c r="AE144" i="3" s="1"/>
  <c r="AE143" i="3"/>
  <c r="AE141" i="3"/>
  <c r="AE149" i="3" s="1"/>
  <c r="AQ252" i="3" a="1"/>
  <c r="AQ252" i="3" s="1"/>
  <c r="AQ249" i="3"/>
  <c r="AQ257" i="3" s="1"/>
  <c r="AQ251" i="3"/>
  <c r="W184" i="3"/>
  <c r="AZ333" i="3" a="1"/>
  <c r="AZ333" i="3" s="1"/>
  <c r="AZ330" i="3"/>
  <c r="AZ338" i="3" s="1"/>
  <c r="AZ332" i="3"/>
  <c r="BD366" i="3"/>
  <c r="BD374" i="3" s="1"/>
  <c r="BD368" i="3"/>
  <c r="BD369" i="3" a="1"/>
  <c r="BD369" i="3" s="1"/>
  <c r="BJ423" i="3" a="1"/>
  <c r="BJ423" i="3" s="1"/>
  <c r="BJ422" i="3"/>
  <c r="BJ420" i="3"/>
  <c r="BJ428" i="3" s="1"/>
  <c r="BJ432" i="3" a="1"/>
  <c r="BJ432" i="3" s="1"/>
  <c r="BJ429" i="3"/>
  <c r="BJ437" i="3" s="1"/>
  <c r="BJ431" i="3"/>
  <c r="O28" i="3"/>
  <c r="AV297" i="3" a="1"/>
  <c r="AV297" i="3" s="1"/>
  <c r="AV296" i="3"/>
  <c r="AV294" i="3"/>
  <c r="AV302" i="3" s="1"/>
  <c r="AW305" i="3"/>
  <c r="AW306" i="3" a="1"/>
  <c r="AW306" i="3" s="1"/>
  <c r="AW303" i="3"/>
  <c r="AW311" i="3" s="1"/>
  <c r="AW314" i="3"/>
  <c r="AW312" i="3"/>
  <c r="AW320" i="3" s="1"/>
  <c r="AW315" i="3" a="1"/>
  <c r="AW315" i="3" s="1"/>
  <c r="AG172" i="3"/>
  <c r="AH169" i="3" s="1"/>
  <c r="BB359" i="3"/>
  <c r="BB360" i="3" a="1"/>
  <c r="BB360" i="3" s="1"/>
  <c r="BB357" i="3"/>
  <c r="BB365" i="3" s="1"/>
  <c r="BH397" i="3"/>
  <c r="BI394" i="3" s="1"/>
  <c r="AS279" i="3" a="1"/>
  <c r="AS279" i="3" s="1"/>
  <c r="AS278" i="3"/>
  <c r="AS276" i="3"/>
  <c r="AS284" i="3" s="1"/>
  <c r="BE377" i="3"/>
  <c r="BE378" i="3" a="1"/>
  <c r="BE378" i="3" s="1"/>
  <c r="BE375" i="3"/>
  <c r="BE383" i="3" s="1"/>
  <c r="AB136" i="3"/>
  <c r="AC133" i="3" s="1"/>
  <c r="X191" i="3" a="1"/>
  <c r="X191" i="3" s="1"/>
  <c r="X156" i="3"/>
  <c r="X157" i="3"/>
  <c r="X112" i="3"/>
  <c r="X111" i="3"/>
  <c r="X166" i="3"/>
  <c r="X167" i="3" s="1"/>
  <c r="X165" i="3"/>
  <c r="X148" i="3"/>
  <c r="X147" i="3"/>
  <c r="X174" i="3"/>
  <c r="X175" i="3"/>
  <c r="X94" i="3"/>
  <c r="X93" i="3"/>
  <c r="X138" i="3"/>
  <c r="X139" i="3"/>
  <c r="X140" i="3" s="1"/>
  <c r="X102" i="3"/>
  <c r="X103" i="3"/>
  <c r="X121" i="3"/>
  <c r="X120" i="3"/>
  <c r="X129" i="3"/>
  <c r="X130" i="3"/>
  <c r="L10" i="3"/>
  <c r="AE18" i="4"/>
  <c r="AE29" i="6" s="1"/>
  <c r="AE16" i="4"/>
  <c r="AQ7" i="2"/>
  <c r="AE22" i="5"/>
  <c r="AE27" i="4" s="1"/>
  <c r="AD15" i="7"/>
  <c r="AF25" i="5"/>
  <c r="AE16" i="7"/>
  <c r="AE28" i="4"/>
  <c r="AE35" i="6" s="1"/>
  <c r="AF29" i="5"/>
  <c r="AE18" i="7"/>
  <c r="AC31" i="6"/>
  <c r="AF5" i="2"/>
  <c r="Y200" i="3" s="1" a="1"/>
  <c r="Y200" i="3" s="1"/>
  <c r="AE5" i="4"/>
  <c r="AE8" i="2"/>
  <c r="AE32" i="6"/>
  <c r="AD20" i="6"/>
  <c r="AD27" i="6"/>
  <c r="AD34" i="6"/>
  <c r="W77" i="3" l="1"/>
  <c r="V64" i="3"/>
  <c r="W61" i="3" s="1"/>
  <c r="W63" i="3" s="1" a="1"/>
  <c r="W63" i="3" s="1"/>
  <c r="U58" i="3"/>
  <c r="V52" i="3"/>
  <c r="AS260" i="3"/>
  <c r="AS262" i="3" s="1"/>
  <c r="AT259" i="3" s="1"/>
  <c r="AT260" i="3" s="1"/>
  <c r="AS258" i="3"/>
  <c r="AS266" i="3" s="1"/>
  <c r="AB109" i="3"/>
  <c r="AC106" i="3" s="1"/>
  <c r="AC107" i="3" s="1"/>
  <c r="AP240" i="3"/>
  <c r="AP248" i="3" s="1"/>
  <c r="AA118" i="3"/>
  <c r="AB115" i="3" s="1"/>
  <c r="AB117" i="3" s="1" a="1"/>
  <c r="AB117" i="3" s="1"/>
  <c r="V67" i="3"/>
  <c r="AP242" i="3"/>
  <c r="AP244" i="3" s="1"/>
  <c r="AQ241" i="3" s="1"/>
  <c r="AQ242" i="3" s="1"/>
  <c r="AN222" i="3"/>
  <c r="AN230" i="3" s="1"/>
  <c r="AN225" i="3" a="1"/>
  <c r="AN225" i="3" s="1"/>
  <c r="AN224" i="3"/>
  <c r="X183" i="3"/>
  <c r="AL213" i="3"/>
  <c r="AL221" i="3" s="1"/>
  <c r="AL216" i="3" a="1"/>
  <c r="AL216" i="3" s="1"/>
  <c r="AL217" i="3" s="1"/>
  <c r="AM214" i="3" s="1"/>
  <c r="AM215" i="3" s="1"/>
  <c r="AJ190" i="3"/>
  <c r="AK187" i="3" s="1"/>
  <c r="AK189" i="3" s="1" a="1"/>
  <c r="AK189" i="3" s="1"/>
  <c r="AF28" i="5"/>
  <c r="AE17" i="7"/>
  <c r="AH150" i="3"/>
  <c r="AH158" i="3" s="1"/>
  <c r="AH152" i="3"/>
  <c r="AH154" i="3" s="1"/>
  <c r="AI151" i="3" s="1"/>
  <c r="AE13" i="6"/>
  <c r="AE17" i="4"/>
  <c r="AE28" i="6" s="1"/>
  <c r="AE6" i="4"/>
  <c r="AE21" i="6" s="1"/>
  <c r="AF19" i="2"/>
  <c r="AI6" i="2"/>
  <c r="AI13" i="2" s="1"/>
  <c r="BF384" i="3"/>
  <c r="BF392" i="3" s="1"/>
  <c r="AD126" i="3" a="1"/>
  <c r="AD126" i="3" s="1"/>
  <c r="Z100" i="3"/>
  <c r="AA97" i="3" s="1"/>
  <c r="AA96" i="3" s="1"/>
  <c r="AA104" i="3" s="1"/>
  <c r="AD125" i="3"/>
  <c r="AB110" i="3"/>
  <c r="AJ177" i="3"/>
  <c r="AJ185" i="3" s="1"/>
  <c r="AQ253" i="3"/>
  <c r="AR250" i="3" s="1"/>
  <c r="AR251" i="3" s="1"/>
  <c r="N19" i="3"/>
  <c r="O16" i="3" s="1"/>
  <c r="O18" i="3" s="1" a="1"/>
  <c r="O18" i="3" s="1"/>
  <c r="AM207" i="3" a="1"/>
  <c r="AM207" i="3" s="1"/>
  <c r="AW285" i="3"/>
  <c r="AW293" i="3" s="1"/>
  <c r="AW287" i="3"/>
  <c r="AW288" i="3" a="1"/>
  <c r="AW288" i="3" s="1"/>
  <c r="X192" i="3"/>
  <c r="Y191" i="3"/>
  <c r="Z191" i="3" s="1"/>
  <c r="AA191" i="3" s="1"/>
  <c r="AB191" i="3" s="1"/>
  <c r="AC191" i="3" s="1"/>
  <c r="AD191" i="3" s="1"/>
  <c r="AE191" i="3" s="1"/>
  <c r="AF191" i="3" s="1"/>
  <c r="AG191" i="3" s="1"/>
  <c r="AH191" i="3" s="1"/>
  <c r="AI191" i="3" s="1"/>
  <c r="AJ191" i="3" s="1"/>
  <c r="L12" i="3"/>
  <c r="L2" i="3" s="1"/>
  <c r="AE146" i="3"/>
  <c r="Z91" i="3"/>
  <c r="AA88" i="3" s="1"/>
  <c r="Z95" i="3"/>
  <c r="Z92" i="3"/>
  <c r="AM206" i="3"/>
  <c r="X85" i="3"/>
  <c r="AL199" i="3"/>
  <c r="AM196" i="3" s="1"/>
  <c r="AM197" i="3" s="1"/>
  <c r="AD128" i="3"/>
  <c r="BF386" i="3"/>
  <c r="BF388" i="3" s="1"/>
  <c r="BG385" i="3" s="1"/>
  <c r="N23" i="3"/>
  <c r="N20" i="3"/>
  <c r="N21" i="3" s="1"/>
  <c r="L13" i="3"/>
  <c r="L3" i="3" s="1"/>
  <c r="S22" i="2" s="1"/>
  <c r="S14" i="6" s="1"/>
  <c r="BA343" i="3"/>
  <c r="BB340" i="3" s="1"/>
  <c r="AJ179" i="3"/>
  <c r="AJ181" i="3" s="1"/>
  <c r="AK178" i="3" s="1"/>
  <c r="BJ424" i="3"/>
  <c r="BK421" i="3" s="1"/>
  <c r="BK422" i="3" s="1"/>
  <c r="X84" i="3"/>
  <c r="AS280" i="3"/>
  <c r="AT277" i="3" s="1"/>
  <c r="AT279" i="3" s="1" a="1"/>
  <c r="AT279" i="3" s="1"/>
  <c r="AG161" i="3"/>
  <c r="AG159" i="3"/>
  <c r="AG162" i="3" a="1"/>
  <c r="AG162" i="3" s="1"/>
  <c r="BB348" i="3"/>
  <c r="BB356" i="3" s="1"/>
  <c r="BB351" i="3" a="1"/>
  <c r="BB351" i="3" s="1"/>
  <c r="BB352" i="3" s="1"/>
  <c r="BC349" i="3" s="1"/>
  <c r="AE145" i="3"/>
  <c r="AF142" i="3" s="1"/>
  <c r="AF141" i="3" s="1"/>
  <c r="AF149" i="3" s="1"/>
  <c r="Q34" i="3"/>
  <c r="P40" i="3"/>
  <c r="X193" i="3"/>
  <c r="AV298" i="3"/>
  <c r="AW295" i="3" s="1"/>
  <c r="AW297" i="3" s="1" a="1"/>
  <c r="AW297" i="3" s="1"/>
  <c r="AZ334" i="3"/>
  <c r="BA331" i="3" s="1"/>
  <c r="BA332" i="3" s="1"/>
  <c r="AN235" i="3"/>
  <c r="AO232" i="3" s="1"/>
  <c r="AO231" i="3" s="1"/>
  <c r="AO239" i="3" s="1"/>
  <c r="AY321" i="3"/>
  <c r="AY329" i="3" s="1"/>
  <c r="AY323" i="3"/>
  <c r="AY324" i="3" a="1"/>
  <c r="AY324" i="3" s="1"/>
  <c r="AH168" i="3"/>
  <c r="AH170" i="3"/>
  <c r="AH171" i="3" a="1"/>
  <c r="AH171" i="3" s="1"/>
  <c r="BK413" i="3"/>
  <c r="BK411" i="3"/>
  <c r="BK419" i="3" s="1"/>
  <c r="BK414" i="3" a="1"/>
  <c r="BK414" i="3" s="1"/>
  <c r="Y80" i="3"/>
  <c r="Y81" i="3" a="1"/>
  <c r="Y81" i="3" s="1"/>
  <c r="Y78" i="3"/>
  <c r="Y83" i="3" s="1"/>
  <c r="X184" i="3"/>
  <c r="BE379" i="3"/>
  <c r="BF376" i="3" s="1"/>
  <c r="AW307" i="3"/>
  <c r="AX304" i="3" s="1"/>
  <c r="AT269" i="3"/>
  <c r="AT270" i="3" a="1"/>
  <c r="AT270" i="3" s="1"/>
  <c r="AT267" i="3"/>
  <c r="AT275" i="3" s="1"/>
  <c r="W75" i="3"/>
  <c r="O31" i="3"/>
  <c r="P25" i="3"/>
  <c r="BI396" i="3" a="1"/>
  <c r="BI396" i="3" s="1"/>
  <c r="BI395" i="3"/>
  <c r="BI393" i="3"/>
  <c r="BI401" i="3" s="1"/>
  <c r="AW316" i="3"/>
  <c r="AX313" i="3" s="1"/>
  <c r="BJ433" i="3"/>
  <c r="BK430" i="3" s="1"/>
  <c r="BJ404" i="3"/>
  <c r="BJ402" i="3"/>
  <c r="BJ410" i="3" s="1"/>
  <c r="BJ405" i="3" a="1"/>
  <c r="BJ405" i="3" s="1"/>
  <c r="R46" i="3"/>
  <c r="AC135" i="3" a="1"/>
  <c r="AC135" i="3" s="1"/>
  <c r="AC134" i="3"/>
  <c r="AC132" i="3"/>
  <c r="AC140" i="3" s="1"/>
  <c r="W76" i="3"/>
  <c r="X70" i="3"/>
  <c r="BB361" i="3"/>
  <c r="BC358" i="3" s="1"/>
  <c r="BD370" i="3"/>
  <c r="BE367" i="3" s="1"/>
  <c r="O30" i="3"/>
  <c r="R50" i="3"/>
  <c r="R48" i="3"/>
  <c r="Y111" i="3"/>
  <c r="Y112" i="3"/>
  <c r="Y130" i="3"/>
  <c r="Y129" i="3"/>
  <c r="Y174" i="3"/>
  <c r="Y175" i="3"/>
  <c r="Y176" i="3" s="1"/>
  <c r="Y93" i="3"/>
  <c r="Y94" i="3"/>
  <c r="Y139" i="3"/>
  <c r="Y138" i="3"/>
  <c r="Y157" i="3"/>
  <c r="Y156" i="3"/>
  <c r="Y103" i="3"/>
  <c r="Y102" i="3"/>
  <c r="Y148" i="3"/>
  <c r="Y149" i="3" s="1"/>
  <c r="Y147" i="3"/>
  <c r="Y120" i="3"/>
  <c r="Y121" i="3"/>
  <c r="Y184" i="3"/>
  <c r="Y166" i="3"/>
  <c r="Y165" i="3"/>
  <c r="M7" i="3"/>
  <c r="M8" i="3" s="1"/>
  <c r="AF18" i="4"/>
  <c r="AF29" i="6" s="1"/>
  <c r="AF16" i="4"/>
  <c r="AR7" i="2"/>
  <c r="F13" i="2"/>
  <c r="F6" i="2"/>
  <c r="AG29" i="5"/>
  <c r="AF18" i="7"/>
  <c r="AG25" i="5"/>
  <c r="AF16" i="7"/>
  <c r="AF28" i="4"/>
  <c r="AF35" i="6" s="1"/>
  <c r="AF22" i="5"/>
  <c r="AF27" i="4" s="1"/>
  <c r="AE15" i="7"/>
  <c r="AG5" i="2"/>
  <c r="AF5" i="4"/>
  <c r="AF8" i="2"/>
  <c r="AF32" i="6"/>
  <c r="AD28" i="6"/>
  <c r="AD31" i="6" s="1"/>
  <c r="AE20" i="6"/>
  <c r="AE34" i="6"/>
  <c r="AE27" i="6"/>
  <c r="AS8" i="1" l="1"/>
  <c r="F7" i="8"/>
  <c r="H7" i="8" s="1"/>
  <c r="AI150" i="3"/>
  <c r="AI158" i="3" s="1"/>
  <c r="BC348" i="3"/>
  <c r="BC356" i="3" s="1"/>
  <c r="AC108" i="3" a="1"/>
  <c r="AC108" i="3" s="1"/>
  <c r="AC109" i="3" s="1"/>
  <c r="AD106" i="3" s="1"/>
  <c r="AC105" i="3"/>
  <c r="AC113" i="3" s="1"/>
  <c r="W60" i="3"/>
  <c r="W65" i="3" s="1"/>
  <c r="W66" i="3" s="1"/>
  <c r="W62" i="3"/>
  <c r="W64" i="3" s="1"/>
  <c r="AB114" i="3"/>
  <c r="AB122" i="3" s="1"/>
  <c r="AB116" i="3"/>
  <c r="AB118" i="3" s="1"/>
  <c r="AC115" i="3" s="1"/>
  <c r="V51" i="3"/>
  <c r="V54" i="3" a="1"/>
  <c r="V54" i="3" s="1"/>
  <c r="V53" i="3"/>
  <c r="AQ243" i="3" a="1"/>
  <c r="AQ243" i="3" s="1"/>
  <c r="AQ244" i="3" s="1"/>
  <c r="AR241" i="3" s="1"/>
  <c r="AR243" i="3" s="1" a="1"/>
  <c r="AR243" i="3" s="1"/>
  <c r="AQ240" i="3"/>
  <c r="AQ248" i="3" s="1"/>
  <c r="BK420" i="3"/>
  <c r="BK428" i="3" s="1"/>
  <c r="AM213" i="3"/>
  <c r="AM221" i="3" s="1"/>
  <c r="AM216" i="3" a="1"/>
  <c r="AM216" i="3" s="1"/>
  <c r="AM217" i="3" s="1"/>
  <c r="AN214" i="3" s="1"/>
  <c r="AN216" i="3" s="1" a="1"/>
  <c r="AN216" i="3" s="1"/>
  <c r="AN226" i="3"/>
  <c r="AO223" i="3" s="1"/>
  <c r="AK186" i="3"/>
  <c r="AK194" i="3" s="1"/>
  <c r="AK188" i="3"/>
  <c r="AK190" i="3" s="1"/>
  <c r="AL187" i="3" s="1"/>
  <c r="AM195" i="3"/>
  <c r="AM203" i="3" s="1"/>
  <c r="AM198" i="3" a="1"/>
  <c r="AM198" i="3" s="1"/>
  <c r="AM199" i="3" s="1"/>
  <c r="AN196" i="3" s="1"/>
  <c r="AH155" i="3"/>
  <c r="AI155" i="3" s="1"/>
  <c r="AI153" i="3" a="1"/>
  <c r="AI153" i="3" s="1"/>
  <c r="BK423" i="3" a="1"/>
  <c r="BK423" i="3" s="1"/>
  <c r="BK424" i="3" s="1"/>
  <c r="Y192" i="3"/>
  <c r="AT261" i="3" a="1"/>
  <c r="AT261" i="3" s="1"/>
  <c r="AT262" i="3" s="1"/>
  <c r="AU259" i="3" s="1"/>
  <c r="AU260" i="3" s="1"/>
  <c r="AI152" i="3"/>
  <c r="AT278" i="3"/>
  <c r="AT280" i="3" s="1"/>
  <c r="AU277" i="3" s="1"/>
  <c r="AT258" i="3"/>
  <c r="AT266" i="3" s="1"/>
  <c r="AJ182" i="3"/>
  <c r="AG28" i="5"/>
  <c r="AF17" i="7"/>
  <c r="Y193" i="3"/>
  <c r="AD127" i="3"/>
  <c r="AE124" i="3" s="1"/>
  <c r="AE126" i="3" s="1" a="1"/>
  <c r="AE126" i="3" s="1"/>
  <c r="AJ6" i="2"/>
  <c r="AJ13" i="2" s="1"/>
  <c r="AG19" i="2"/>
  <c r="AF13" i="6"/>
  <c r="AF17" i="4"/>
  <c r="AF28" i="6" s="1"/>
  <c r="AF6" i="4"/>
  <c r="AF21" i="6" s="1"/>
  <c r="AW289" i="3"/>
  <c r="AX286" i="3" s="1"/>
  <c r="AX285" i="3" s="1"/>
  <c r="AX293" i="3" s="1"/>
  <c r="AA99" i="3" a="1"/>
  <c r="AA99" i="3" s="1"/>
  <c r="AA98" i="3"/>
  <c r="AR249" i="3"/>
  <c r="AR257" i="3" s="1"/>
  <c r="AR252" i="3" a="1"/>
  <c r="AR252" i="3" s="1"/>
  <c r="AR253" i="3" s="1"/>
  <c r="AS250" i="3" s="1"/>
  <c r="AS251" i="3" s="1"/>
  <c r="AM208" i="3"/>
  <c r="AN205" i="3" s="1"/>
  <c r="AN207" i="3" s="1" a="1"/>
  <c r="AN207" i="3" s="1"/>
  <c r="O17" i="3"/>
  <c r="O19" i="3" s="1"/>
  <c r="O15" i="3"/>
  <c r="O20" i="3" s="1"/>
  <c r="O21" i="3" s="1"/>
  <c r="AO234" i="3" a="1"/>
  <c r="AO234" i="3" s="1"/>
  <c r="AG167" i="3"/>
  <c r="AG164" i="3"/>
  <c r="AC136" i="3"/>
  <c r="AD133" i="3" s="1"/>
  <c r="AD135" i="3" s="1" a="1"/>
  <c r="AD135" i="3" s="1"/>
  <c r="AH176" i="3"/>
  <c r="AH173" i="3"/>
  <c r="AC137" i="3"/>
  <c r="AW294" i="3"/>
  <c r="AW302" i="3" s="1"/>
  <c r="AA87" i="3"/>
  <c r="AA95" i="3" s="1"/>
  <c r="AA90" i="3" a="1"/>
  <c r="AA90" i="3" s="1"/>
  <c r="AA89" i="3"/>
  <c r="AA101" i="3"/>
  <c r="AF146" i="3"/>
  <c r="AT276" i="3"/>
  <c r="AT284" i="3" s="1"/>
  <c r="Y201" i="3"/>
  <c r="Z200" i="3"/>
  <c r="AA200" i="3" s="1"/>
  <c r="AB200" i="3" s="1"/>
  <c r="AC200" i="3" s="1"/>
  <c r="AD200" i="3" s="1"/>
  <c r="AE200" i="3" s="1"/>
  <c r="AF200" i="3" s="1"/>
  <c r="AG200" i="3" s="1"/>
  <c r="AH200" i="3" s="1"/>
  <c r="AI200" i="3" s="1"/>
  <c r="AJ200" i="3" s="1"/>
  <c r="AK200" i="3" s="1"/>
  <c r="AL200" i="3" s="1"/>
  <c r="N22" i="3"/>
  <c r="AK179" i="3"/>
  <c r="AK180" i="3" a="1"/>
  <c r="AK180" i="3" s="1"/>
  <c r="AK177" i="3"/>
  <c r="AK185" i="3" s="1"/>
  <c r="M6" i="3"/>
  <c r="M14" i="3" s="1"/>
  <c r="M4" i="3" s="1"/>
  <c r="BB342" i="3" a="1"/>
  <c r="BB342" i="3" s="1"/>
  <c r="BB341" i="3"/>
  <c r="BB339" i="3"/>
  <c r="BB347" i="3" s="1"/>
  <c r="AG163" i="3"/>
  <c r="AH160" i="3" s="1"/>
  <c r="BJ406" i="3"/>
  <c r="BK403" i="3" s="1"/>
  <c r="BK402" i="3" s="1"/>
  <c r="BK410" i="3" s="1"/>
  <c r="AW296" i="3"/>
  <c r="AW298" i="3" s="1"/>
  <c r="AX295" i="3" s="1"/>
  <c r="AF144" i="3" a="1"/>
  <c r="AF144" i="3" s="1"/>
  <c r="BK415" i="3"/>
  <c r="Y183" i="3"/>
  <c r="BC351" i="3" a="1"/>
  <c r="BC351" i="3" s="1"/>
  <c r="AF143" i="3"/>
  <c r="BC350" i="3"/>
  <c r="AO233" i="3"/>
  <c r="Q33" i="3"/>
  <c r="Q38" i="3" s="1"/>
  <c r="Q35" i="3"/>
  <c r="Q36" i="3" a="1"/>
  <c r="Q36" i="3" s="1"/>
  <c r="BA330" i="3"/>
  <c r="BA338" i="3" s="1"/>
  <c r="AY325" i="3"/>
  <c r="AZ322" i="3" s="1"/>
  <c r="AZ323" i="3" s="1"/>
  <c r="BA333" i="3" a="1"/>
  <c r="BA333" i="3" s="1"/>
  <c r="BA334" i="3" s="1"/>
  <c r="BB331" i="3" s="1"/>
  <c r="Y86" i="3"/>
  <c r="AX303" i="3"/>
  <c r="AX311" i="3" s="1"/>
  <c r="AX305" i="3"/>
  <c r="AX306" i="3" a="1"/>
  <c r="AX306" i="3" s="1"/>
  <c r="AH172" i="3"/>
  <c r="AI169" i="3" s="1"/>
  <c r="M9" i="3" a="1"/>
  <c r="M9" i="3" s="1"/>
  <c r="M10" i="3" s="1"/>
  <c r="R49" i="3"/>
  <c r="S43" i="3"/>
  <c r="BK432" i="3" a="1"/>
  <c r="BK432" i="3" s="1"/>
  <c r="BK429" i="3"/>
  <c r="BK437" i="3" s="1"/>
  <c r="BK431" i="3"/>
  <c r="Y82" i="3"/>
  <c r="Y202" i="3"/>
  <c r="BE368" i="3"/>
  <c r="BE369" i="3" a="1"/>
  <c r="BE369" i="3" s="1"/>
  <c r="BE366" i="3"/>
  <c r="BE374" i="3" s="1"/>
  <c r="AX314" i="3"/>
  <c r="AX315" i="3" a="1"/>
  <c r="AX315" i="3" s="1"/>
  <c r="AX312" i="3"/>
  <c r="AX320" i="3" s="1"/>
  <c r="AT271" i="3"/>
  <c r="AU268" i="3" s="1"/>
  <c r="BG384" i="3"/>
  <c r="BG392" i="3" s="1"/>
  <c r="BG387" i="3" a="1"/>
  <c r="BG387" i="3" s="1"/>
  <c r="BG386" i="3"/>
  <c r="P24" i="3"/>
  <c r="P29" i="3" s="1"/>
  <c r="P27" i="3" a="1"/>
  <c r="P27" i="3" s="1"/>
  <c r="P26" i="3"/>
  <c r="X71" i="3"/>
  <c r="X69" i="3"/>
  <c r="X74" i="3" s="1"/>
  <c r="X72" i="3" a="1"/>
  <c r="X72" i="3" s="1"/>
  <c r="BC357" i="3"/>
  <c r="BC365" i="3" s="1"/>
  <c r="BC359" i="3"/>
  <c r="BC360" i="3" a="1"/>
  <c r="BC360" i="3" s="1"/>
  <c r="BI397" i="3"/>
  <c r="BJ394" i="3" s="1"/>
  <c r="BF375" i="3"/>
  <c r="BF383" i="3" s="1"/>
  <c r="BF377" i="3"/>
  <c r="BF378" i="3" a="1"/>
  <c r="BF378" i="3" s="1"/>
  <c r="Z209" i="3" a="1"/>
  <c r="Z209" i="3" s="1"/>
  <c r="Z103" i="3"/>
  <c r="Z102" i="3"/>
  <c r="Z130" i="3"/>
  <c r="Z129" i="3"/>
  <c r="Z165" i="3"/>
  <c r="Z166" i="3"/>
  <c r="Z183" i="3"/>
  <c r="Z184" i="3"/>
  <c r="Z185" i="3" s="1"/>
  <c r="Z193" i="3"/>
  <c r="Z192" i="3"/>
  <c r="Z147" i="3"/>
  <c r="Z148" i="3"/>
  <c r="Z157" i="3"/>
  <c r="Z158" i="3" s="1"/>
  <c r="Z156" i="3"/>
  <c r="Z175" i="3"/>
  <c r="Z174" i="3"/>
  <c r="Z94" i="3"/>
  <c r="Z93" i="3"/>
  <c r="Z120" i="3"/>
  <c r="Z121" i="3"/>
  <c r="Z138" i="3"/>
  <c r="Z139" i="3"/>
  <c r="Z112" i="3"/>
  <c r="Z111" i="3"/>
  <c r="AG16" i="4"/>
  <c r="AG27" i="6" s="1"/>
  <c r="AG18" i="4"/>
  <c r="AG29" i="6" s="1"/>
  <c r="AS7" i="2"/>
  <c r="AG22" i="5"/>
  <c r="AG27" i="4" s="1"/>
  <c r="AG34" i="6" s="1"/>
  <c r="AF15" i="7"/>
  <c r="AH25" i="5"/>
  <c r="F25" i="5" s="1"/>
  <c r="AG16" i="7"/>
  <c r="AG28" i="4"/>
  <c r="AG35" i="6" s="1"/>
  <c r="AH29" i="5"/>
  <c r="F29" i="5" s="1"/>
  <c r="AG18" i="7"/>
  <c r="AE31" i="6"/>
  <c r="AH5" i="2"/>
  <c r="F47" i="10"/>
  <c r="F42" i="10"/>
  <c r="AG5" i="4"/>
  <c r="AG20" i="6" s="1"/>
  <c r="AG8" i="2"/>
  <c r="AF34" i="6"/>
  <c r="AF27" i="6"/>
  <c r="AF20" i="6"/>
  <c r="AC110" i="3" l="1"/>
  <c r="G7" i="8"/>
  <c r="AB119" i="3"/>
  <c r="W68" i="3"/>
  <c r="X61" i="3"/>
  <c r="W67" i="3"/>
  <c r="AR242" i="3"/>
  <c r="AR244" i="3" s="1"/>
  <c r="AS241" i="3" s="1"/>
  <c r="AS242" i="3" s="1"/>
  <c r="V55" i="3"/>
  <c r="V56" i="3"/>
  <c r="V59" i="3"/>
  <c r="AR240" i="3"/>
  <c r="AR248" i="3" s="1"/>
  <c r="AK191" i="3"/>
  <c r="AM200" i="3"/>
  <c r="AO222" i="3"/>
  <c r="AO230" i="3" s="1"/>
  <c r="AO225" i="3" a="1"/>
  <c r="AO225" i="3" s="1"/>
  <c r="AO224" i="3"/>
  <c r="AN204" i="3"/>
  <c r="AN212" i="3" s="1"/>
  <c r="AI154" i="3"/>
  <c r="AJ151" i="3" s="1"/>
  <c r="AJ152" i="3" s="1"/>
  <c r="AD134" i="3"/>
  <c r="AD136" i="3" s="1"/>
  <c r="AE133" i="3" s="1"/>
  <c r="AE135" i="3" s="1" a="1"/>
  <c r="AE135" i="3" s="1"/>
  <c r="AD132" i="3"/>
  <c r="AD140" i="3" s="1"/>
  <c r="AU261" i="3" a="1"/>
  <c r="AU261" i="3" s="1"/>
  <c r="AU262" i="3" s="1"/>
  <c r="AV259" i="3" s="1"/>
  <c r="AU258" i="3"/>
  <c r="AU266" i="3" s="1"/>
  <c r="AA92" i="3"/>
  <c r="AA93" i="3" s="1"/>
  <c r="AH28" i="5"/>
  <c r="F28" i="5" s="1"/>
  <c r="AG17" i="7"/>
  <c r="AE125" i="3"/>
  <c r="AE127" i="3" s="1"/>
  <c r="AF124" i="3" s="1"/>
  <c r="AE123" i="3"/>
  <c r="AE131" i="3" s="1"/>
  <c r="M11" i="3"/>
  <c r="M12" i="3" s="1"/>
  <c r="M2" i="3" s="1"/>
  <c r="AO235" i="3"/>
  <c r="AP232" i="3" s="1"/>
  <c r="AP234" i="3" s="1" a="1"/>
  <c r="AP234" i="3" s="1"/>
  <c r="AX287" i="3"/>
  <c r="AX288" i="3" a="1"/>
  <c r="AX288" i="3" s="1"/>
  <c r="AL188" i="3"/>
  <c r="AL189" i="3" a="1"/>
  <c r="AL189" i="3" s="1"/>
  <c r="AL186" i="3"/>
  <c r="AN213" i="3"/>
  <c r="AN221" i="3" s="1"/>
  <c r="AG13" i="6"/>
  <c r="AG17" i="4"/>
  <c r="AG28" i="6" s="1"/>
  <c r="AG31" i="6" s="1"/>
  <c r="AG6" i="4"/>
  <c r="AG21" i="6" s="1"/>
  <c r="AK6" i="2"/>
  <c r="AK13" i="2" s="1"/>
  <c r="AH19" i="2"/>
  <c r="O23" i="3"/>
  <c r="AN206" i="3"/>
  <c r="AN208" i="3" s="1"/>
  <c r="AO205" i="3" s="1"/>
  <c r="AA100" i="3"/>
  <c r="AB97" i="3" s="1"/>
  <c r="BC352" i="3"/>
  <c r="BD349" i="3" s="1"/>
  <c r="BD350" i="3" s="1"/>
  <c r="Z202" i="3"/>
  <c r="AA91" i="3"/>
  <c r="AB88" i="3" s="1"/>
  <c r="AB89" i="3" s="1"/>
  <c r="Z210" i="3"/>
  <c r="AA209" i="3"/>
  <c r="AB209" i="3" s="1"/>
  <c r="AC209" i="3" s="1"/>
  <c r="AD209" i="3" s="1"/>
  <c r="AE209" i="3" s="1"/>
  <c r="AF209" i="3" s="1"/>
  <c r="AG209" i="3" s="1"/>
  <c r="AH209" i="3" s="1"/>
  <c r="AI209" i="3" s="1"/>
  <c r="AJ209" i="3" s="1"/>
  <c r="AK209" i="3" s="1"/>
  <c r="AL209" i="3" s="1"/>
  <c r="AM209" i="3" s="1"/>
  <c r="BB343" i="3"/>
  <c r="BC340" i="3" s="1"/>
  <c r="BC342" i="3" s="1" a="1"/>
  <c r="BC342" i="3" s="1"/>
  <c r="AF145" i="3"/>
  <c r="AG142" i="3" s="1"/>
  <c r="AG141" i="3" s="1"/>
  <c r="AG149" i="3" s="1"/>
  <c r="AK182" i="3"/>
  <c r="O22" i="3"/>
  <c r="P16" i="3"/>
  <c r="AK181" i="3"/>
  <c r="AL178" i="3" s="1"/>
  <c r="AN215" i="3"/>
  <c r="AN217" i="3" s="1"/>
  <c r="AO214" i="3" s="1"/>
  <c r="BK404" i="3"/>
  <c r="AX294" i="3"/>
  <c r="AX302" i="3" s="1"/>
  <c r="AX296" i="3"/>
  <c r="Q37" i="3"/>
  <c r="R34" i="3" s="1"/>
  <c r="AS252" i="3" a="1"/>
  <c r="AS252" i="3" s="1"/>
  <c r="AS253" i="3" s="1"/>
  <c r="AT250" i="3" s="1"/>
  <c r="AT252" i="3" s="1" a="1"/>
  <c r="AT252" i="3" s="1"/>
  <c r="BK405" i="3" a="1"/>
  <c r="BK405" i="3" s="1"/>
  <c r="AH159" i="3"/>
  <c r="AH167" i="3" s="1"/>
  <c r="AH161" i="3"/>
  <c r="AH162" i="3" a="1"/>
  <c r="AH162" i="3" s="1"/>
  <c r="BC361" i="3"/>
  <c r="BD358" i="3" s="1"/>
  <c r="BD357" i="3" s="1"/>
  <c r="BD365" i="3" s="1"/>
  <c r="AS249" i="3"/>
  <c r="AS257" i="3" s="1"/>
  <c r="AZ321" i="3"/>
  <c r="AZ329" i="3" s="1"/>
  <c r="AZ324" i="3" a="1"/>
  <c r="AZ324" i="3" s="1"/>
  <c r="AZ325" i="3" s="1"/>
  <c r="BA322" i="3" s="1"/>
  <c r="P28" i="3"/>
  <c r="Q25" i="3" s="1"/>
  <c r="Q41" i="3"/>
  <c r="Q39" i="3"/>
  <c r="AX297" i="3" a="1"/>
  <c r="AX297" i="3" s="1"/>
  <c r="Z201" i="3"/>
  <c r="BB330" i="3"/>
  <c r="BB338" i="3" s="1"/>
  <c r="BB332" i="3"/>
  <c r="BB333" i="3" a="1"/>
  <c r="BB333" i="3" s="1"/>
  <c r="Z211" i="3"/>
  <c r="BK433" i="3"/>
  <c r="AI170" i="3"/>
  <c r="AI168" i="3"/>
  <c r="AI176" i="3" s="1"/>
  <c r="AI171" i="3" a="1"/>
  <c r="AI171" i="3" s="1"/>
  <c r="AN195" i="3"/>
  <c r="AN203" i="3" s="1"/>
  <c r="AN198" i="3" a="1"/>
  <c r="AN198" i="3" s="1"/>
  <c r="AN197" i="3"/>
  <c r="BF379" i="3"/>
  <c r="BG376" i="3" s="1"/>
  <c r="X77" i="3"/>
  <c r="AU270" i="3" a="1"/>
  <c r="AU270" i="3" s="1"/>
  <c r="AU269" i="3"/>
  <c r="AU267" i="3"/>
  <c r="AU275" i="3" s="1"/>
  <c r="AX316" i="3"/>
  <c r="AY313" i="3" s="1"/>
  <c r="AX307" i="3"/>
  <c r="AY304" i="3" s="1"/>
  <c r="X73" i="3"/>
  <c r="P32" i="3"/>
  <c r="AU276" i="3"/>
  <c r="AU284" i="3" s="1"/>
  <c r="AU278" i="3"/>
  <c r="AU279" i="3" a="1"/>
  <c r="AU279" i="3" s="1"/>
  <c r="S42" i="3"/>
  <c r="S47" i="3" s="1"/>
  <c r="S44" i="3"/>
  <c r="S45" i="3" a="1"/>
  <c r="S45" i="3" s="1"/>
  <c r="AD105" i="3"/>
  <c r="AD113" i="3" s="1"/>
  <c r="AD107" i="3"/>
  <c r="AD108" i="3" a="1"/>
  <c r="AD108" i="3" s="1"/>
  <c r="BJ396" i="3" a="1"/>
  <c r="BJ396" i="3" s="1"/>
  <c r="BJ393" i="3"/>
  <c r="BJ401" i="3" s="1"/>
  <c r="BJ395" i="3"/>
  <c r="AC117" i="3" a="1"/>
  <c r="AC117" i="3" s="1"/>
  <c r="AC114" i="3"/>
  <c r="AC122" i="3" s="1"/>
  <c r="AC116" i="3"/>
  <c r="Y84" i="3"/>
  <c r="BG388" i="3"/>
  <c r="BH385" i="3" s="1"/>
  <c r="Z79" i="3"/>
  <c r="Y85" i="3"/>
  <c r="BE370" i="3"/>
  <c r="BF367" i="3" s="1"/>
  <c r="AA218" i="3" a="1"/>
  <c r="AA218" i="3" s="1"/>
  <c r="AA219" i="3" s="1"/>
  <c r="AA138" i="3"/>
  <c r="AA139" i="3"/>
  <c r="AA165" i="3"/>
  <c r="AA166" i="3"/>
  <c r="AA167" i="3" s="1"/>
  <c r="AA112" i="3"/>
  <c r="AA111" i="3"/>
  <c r="AA156" i="3"/>
  <c r="AA157" i="3"/>
  <c r="AA147" i="3"/>
  <c r="AA148" i="3"/>
  <c r="AA183" i="3"/>
  <c r="AA184" i="3"/>
  <c r="AA201" i="3"/>
  <c r="AA202" i="3"/>
  <c r="AA129" i="3"/>
  <c r="AA130" i="3"/>
  <c r="AA120" i="3"/>
  <c r="AA121" i="3"/>
  <c r="AA174" i="3"/>
  <c r="AA175" i="3"/>
  <c r="AA192" i="3"/>
  <c r="AA193" i="3"/>
  <c r="AA194" i="3" s="1"/>
  <c r="AA102" i="3"/>
  <c r="N7" i="3"/>
  <c r="AH16" i="4"/>
  <c r="AH27" i="6" s="1"/>
  <c r="AH18" i="4"/>
  <c r="AH29" i="6" s="1"/>
  <c r="AT7" i="2"/>
  <c r="AI25" i="5"/>
  <c r="AH16" i="7"/>
  <c r="AH28" i="4"/>
  <c r="AH35" i="6" s="1"/>
  <c r="F35" i="6" s="1"/>
  <c r="AI29" i="5"/>
  <c r="AH18" i="7"/>
  <c r="AH22" i="5"/>
  <c r="F22" i="5" s="1"/>
  <c r="AG15" i="7"/>
  <c r="AF31" i="6"/>
  <c r="AI5" i="2"/>
  <c r="F48" i="10"/>
  <c r="AH5" i="4"/>
  <c r="F5" i="2"/>
  <c r="AH8" i="2"/>
  <c r="F8" i="2" s="1"/>
  <c r="F21" i="4"/>
  <c r="AS19" i="1" s="1"/>
  <c r="AS7" i="1" l="1"/>
  <c r="F6" i="8"/>
  <c r="AF123" i="3"/>
  <c r="AF131" i="3" s="1"/>
  <c r="X63" i="3" a="1"/>
  <c r="X63" i="3" s="1"/>
  <c r="X62" i="3"/>
  <c r="X60" i="3"/>
  <c r="AS240" i="3"/>
  <c r="AS248" i="3" s="1"/>
  <c r="AS243" i="3" a="1"/>
  <c r="AS243" i="3" s="1"/>
  <c r="AS244" i="3" s="1"/>
  <c r="AT241" i="3" s="1"/>
  <c r="AD137" i="3"/>
  <c r="V57" i="3"/>
  <c r="W52" i="3"/>
  <c r="V58" i="3"/>
  <c r="AO204" i="3"/>
  <c r="AO212" i="3" s="1"/>
  <c r="AN209" i="3"/>
  <c r="AO226" i="3"/>
  <c r="AP223" i="3" s="1"/>
  <c r="AF125" i="3"/>
  <c r="AJ150" i="3"/>
  <c r="AJ158" i="3" s="1"/>
  <c r="AJ153" i="3" a="1"/>
  <c r="AJ153" i="3" s="1"/>
  <c r="AJ154" i="3" s="1"/>
  <c r="AK151" i="3" s="1"/>
  <c r="AK152" i="3" s="1"/>
  <c r="AP233" i="3"/>
  <c r="AP235" i="3" s="1"/>
  <c r="AQ232" i="3" s="1"/>
  <c r="AP231" i="3"/>
  <c r="AP239" i="3" s="1"/>
  <c r="AE134" i="3"/>
  <c r="AE136" i="3" s="1"/>
  <c r="AF133" i="3" s="1"/>
  <c r="AX289" i="3"/>
  <c r="AY286" i="3" s="1"/>
  <c r="AY287" i="3" s="1"/>
  <c r="BC339" i="3"/>
  <c r="BC347" i="3" s="1"/>
  <c r="BK406" i="3"/>
  <c r="AL190" i="3"/>
  <c r="AM187" i="3" s="1"/>
  <c r="AM188" i="3" s="1"/>
  <c r="BC341" i="3"/>
  <c r="BC343" i="3" s="1"/>
  <c r="BD340" i="3" s="1"/>
  <c r="AF126" i="3" a="1"/>
  <c r="AF126" i="3" s="1"/>
  <c r="M5" i="3"/>
  <c r="AE128" i="3"/>
  <c r="AF128" i="3" s="1"/>
  <c r="AI28" i="5"/>
  <c r="AH17" i="7"/>
  <c r="AA103" i="3"/>
  <c r="M13" i="3"/>
  <c r="M3" i="3" s="1"/>
  <c r="T22" i="2" s="1"/>
  <c r="T14" i="6" s="1"/>
  <c r="BD351" i="3" a="1"/>
  <c r="BD351" i="3" s="1"/>
  <c r="BD352" i="3" s="1"/>
  <c r="BE349" i="3" s="1"/>
  <c r="BE351" i="3" s="1" a="1"/>
  <c r="BE351" i="3" s="1"/>
  <c r="BD348" i="3"/>
  <c r="BD356" i="3" s="1"/>
  <c r="AO206" i="3"/>
  <c r="AO207" i="3" a="1"/>
  <c r="AO207" i="3" s="1"/>
  <c r="AI19" i="2"/>
  <c r="AL6" i="2"/>
  <c r="AL13" i="2" s="1"/>
  <c r="AL194" i="3"/>
  <c r="AL191" i="3"/>
  <c r="AH17" i="4"/>
  <c r="AH28" i="6" s="1"/>
  <c r="AH31" i="6" s="1"/>
  <c r="AH13" i="6"/>
  <c r="F13" i="6" s="1"/>
  <c r="AH6" i="4"/>
  <c r="AA210" i="3"/>
  <c r="AB96" i="3"/>
  <c r="AB99" i="3" a="1"/>
  <c r="AB99" i="3" s="1"/>
  <c r="AB98" i="3"/>
  <c r="AA211" i="3"/>
  <c r="AG144" i="3" a="1"/>
  <c r="AG144" i="3" s="1"/>
  <c r="AG143" i="3"/>
  <c r="AI173" i="3"/>
  <c r="AB87" i="3"/>
  <c r="AB95" i="3" s="1"/>
  <c r="AB90" i="3" a="1"/>
  <c r="AB90" i="3" s="1"/>
  <c r="AB91" i="3" s="1"/>
  <c r="AC88" i="3" s="1"/>
  <c r="AA94" i="3"/>
  <c r="BD360" i="3" a="1"/>
  <c r="BD360" i="3" s="1"/>
  <c r="BD359" i="3"/>
  <c r="AG146" i="3"/>
  <c r="AE132" i="3"/>
  <c r="AE140" i="3" s="1"/>
  <c r="AN200" i="3"/>
  <c r="AH164" i="3"/>
  <c r="AC119" i="3"/>
  <c r="BJ397" i="3"/>
  <c r="BK394" i="3" s="1"/>
  <c r="BK396" i="3" s="1" a="1"/>
  <c r="BK396" i="3" s="1"/>
  <c r="AX298" i="3"/>
  <c r="AY295" i="3" s="1"/>
  <c r="AY294" i="3" s="1"/>
  <c r="AY302" i="3" s="1"/>
  <c r="AD110" i="3"/>
  <c r="AA220" i="3"/>
  <c r="AB218" i="3"/>
  <c r="AC218" i="3" s="1"/>
  <c r="AD218" i="3" s="1"/>
  <c r="AE218" i="3" s="1"/>
  <c r="AF218" i="3" s="1"/>
  <c r="AG218" i="3" s="1"/>
  <c r="AH218" i="3" s="1"/>
  <c r="AI218" i="3" s="1"/>
  <c r="AJ218" i="3" s="1"/>
  <c r="P15" i="3"/>
  <c r="P17" i="3"/>
  <c r="P18" i="3" a="1"/>
  <c r="P18" i="3" s="1"/>
  <c r="AC118" i="3"/>
  <c r="AD115" i="3" s="1"/>
  <c r="AD116" i="3" s="1"/>
  <c r="AL179" i="3"/>
  <c r="AL180" i="3" a="1"/>
  <c r="AL180" i="3" s="1"/>
  <c r="AL177" i="3"/>
  <c r="AL185" i="3" s="1"/>
  <c r="AU271" i="3"/>
  <c r="AV268" i="3" s="1"/>
  <c r="AV267" i="3" s="1"/>
  <c r="AV275" i="3" s="1"/>
  <c r="AH163" i="3"/>
  <c r="AI160" i="3" s="1"/>
  <c r="BA321" i="3"/>
  <c r="BA329" i="3" s="1"/>
  <c r="BA324" i="3" a="1"/>
  <c r="BA324" i="3" s="1"/>
  <c r="BA323" i="3"/>
  <c r="BB334" i="3"/>
  <c r="BC331" i="3" s="1"/>
  <c r="BC333" i="3" s="1" a="1"/>
  <c r="BC333" i="3" s="1"/>
  <c r="Q40" i="3"/>
  <c r="R33" i="3"/>
  <c r="R35" i="3"/>
  <c r="R36" i="3" a="1"/>
  <c r="R36" i="3" s="1"/>
  <c r="AT251" i="3"/>
  <c r="AT253" i="3" s="1"/>
  <c r="AU250" i="3" s="1"/>
  <c r="AT249" i="3"/>
  <c r="AT257" i="3" s="1"/>
  <c r="AY305" i="3"/>
  <c r="AY306" i="3" a="1"/>
  <c r="AY306" i="3" s="1"/>
  <c r="AY303" i="3"/>
  <c r="AY311" i="3" s="1"/>
  <c r="AV258" i="3"/>
  <c r="AV266" i="3" s="1"/>
  <c r="AV260" i="3"/>
  <c r="AV261" i="3" a="1"/>
  <c r="AV261" i="3" s="1"/>
  <c r="S46" i="3"/>
  <c r="AU280" i="3"/>
  <c r="AV277" i="3" s="1"/>
  <c r="AY314" i="3"/>
  <c r="AY315" i="3" a="1"/>
  <c r="AY315" i="3" s="1"/>
  <c r="AY312" i="3"/>
  <c r="AY320" i="3" s="1"/>
  <c r="BG377" i="3"/>
  <c r="BG378" i="3" a="1"/>
  <c r="BG378" i="3" s="1"/>
  <c r="BG375" i="3"/>
  <c r="BG383" i="3" s="1"/>
  <c r="BF366" i="3"/>
  <c r="BF374" i="3" s="1"/>
  <c r="BF369" i="3" a="1"/>
  <c r="BF369" i="3" s="1"/>
  <c r="BF368" i="3"/>
  <c r="S50" i="3"/>
  <c r="AO213" i="3"/>
  <c r="AO221" i="3" s="1"/>
  <c r="AO215" i="3"/>
  <c r="AO216" i="3" a="1"/>
  <c r="AO216" i="3" s="1"/>
  <c r="Z78" i="3"/>
  <c r="Z83" i="3" s="1"/>
  <c r="Z81" i="3" a="1"/>
  <c r="Z81" i="3" s="1"/>
  <c r="Z80" i="3"/>
  <c r="BH386" i="3"/>
  <c r="BH387" i="3" a="1"/>
  <c r="BH387" i="3" s="1"/>
  <c r="BH384" i="3"/>
  <c r="BH392" i="3" s="1"/>
  <c r="AD109" i="3"/>
  <c r="AE106" i="3" s="1"/>
  <c r="Y70" i="3"/>
  <c r="X76" i="3"/>
  <c r="P31" i="3"/>
  <c r="AI172" i="3"/>
  <c r="AJ169" i="3" s="1"/>
  <c r="P30" i="3"/>
  <c r="Q26" i="3"/>
  <c r="Q27" i="3" a="1"/>
  <c r="Q27" i="3" s="1"/>
  <c r="Q24" i="3"/>
  <c r="AN199" i="3"/>
  <c r="AO196" i="3" s="1"/>
  <c r="X75" i="3"/>
  <c r="AB227" i="3" a="1"/>
  <c r="AB227" i="3" s="1"/>
  <c r="AC227" i="3" s="1"/>
  <c r="AD227" i="3" s="1"/>
  <c r="AE227" i="3" s="1"/>
  <c r="AF227" i="3" s="1"/>
  <c r="AG227" i="3" s="1"/>
  <c r="AH227" i="3" s="1"/>
  <c r="AI227" i="3" s="1"/>
  <c r="AJ227" i="3" s="1"/>
  <c r="AB174" i="3"/>
  <c r="AB175" i="3"/>
  <c r="AB176" i="3" s="1"/>
  <c r="AB201" i="3"/>
  <c r="AB202" i="3"/>
  <c r="AB203" i="3" s="1"/>
  <c r="AB130" i="3"/>
  <c r="AB129" i="3"/>
  <c r="AB184" i="3"/>
  <c r="AB183" i="3"/>
  <c r="AB138" i="3"/>
  <c r="AB139" i="3"/>
  <c r="AB148" i="3"/>
  <c r="AB147" i="3"/>
  <c r="AB210" i="3"/>
  <c r="AB211" i="3"/>
  <c r="AB111" i="3"/>
  <c r="AB112" i="3"/>
  <c r="AB121" i="3"/>
  <c r="AB120" i="3"/>
  <c r="AB193" i="3"/>
  <c r="AB192" i="3"/>
  <c r="AB157" i="3"/>
  <c r="AB156" i="3"/>
  <c r="AB166" i="3"/>
  <c r="AB165" i="3"/>
  <c r="N9" i="3" a="1"/>
  <c r="N9" i="3" s="1"/>
  <c r="N8" i="3"/>
  <c r="N6" i="3"/>
  <c r="N11" i="3" s="1"/>
  <c r="AI18" i="4"/>
  <c r="AI29" i="6" s="1"/>
  <c r="AI16" i="4"/>
  <c r="AI27" i="6" s="1"/>
  <c r="AU7" i="2"/>
  <c r="F28" i="4"/>
  <c r="AI22" i="5"/>
  <c r="AI27" i="4" s="1"/>
  <c r="AI34" i="6" s="1"/>
  <c r="AH15" i="7"/>
  <c r="AH27" i="4"/>
  <c r="AH34" i="6" s="1"/>
  <c r="AJ29" i="5"/>
  <c r="AI18" i="7"/>
  <c r="AJ25" i="5"/>
  <c r="AI16" i="7"/>
  <c r="AI28" i="4"/>
  <c r="AI35" i="6" s="1"/>
  <c r="AJ5" i="2"/>
  <c r="AI5" i="4"/>
  <c r="AH20" i="6"/>
  <c r="F5" i="4"/>
  <c r="G7" i="2"/>
  <c r="AI8" i="2"/>
  <c r="F32" i="6"/>
  <c r="F16" i="4"/>
  <c r="F29" i="6"/>
  <c r="F18" i="4"/>
  <c r="F21" i="8"/>
  <c r="H21" i="8" s="1"/>
  <c r="G6" i="8" l="1"/>
  <c r="H6" i="8"/>
  <c r="AF132" i="3"/>
  <c r="AF140" i="3" s="1"/>
  <c r="X64" i="3"/>
  <c r="Y61" i="3" s="1"/>
  <c r="Y63" i="3" s="1" a="1"/>
  <c r="Y63" i="3" s="1"/>
  <c r="X65" i="3"/>
  <c r="X66" i="3" s="1"/>
  <c r="X68" i="3"/>
  <c r="AO209" i="3"/>
  <c r="W51" i="3"/>
  <c r="W53" i="3"/>
  <c r="W54" i="3" a="1"/>
  <c r="W54" i="3" s="1"/>
  <c r="AJ220" i="3"/>
  <c r="AJ219" i="3"/>
  <c r="AK227" i="3"/>
  <c r="AL227" i="3" s="1"/>
  <c r="AM227" i="3" s="1"/>
  <c r="AN227" i="3" s="1"/>
  <c r="AO227" i="3" s="1"/>
  <c r="AF127" i="3"/>
  <c r="AG124" i="3" s="1"/>
  <c r="AG123" i="3" s="1"/>
  <c r="AG131" i="3" s="1"/>
  <c r="AJ155" i="3"/>
  <c r="AK150" i="3"/>
  <c r="AK158" i="3" s="1"/>
  <c r="AP222" i="3"/>
  <c r="AP230" i="3" s="1"/>
  <c r="AP224" i="3"/>
  <c r="AP225" i="3" a="1"/>
  <c r="AP225" i="3" s="1"/>
  <c r="AM189" i="3" a="1"/>
  <c r="AM189" i="3" s="1"/>
  <c r="AM190" i="3" s="1"/>
  <c r="AN187" i="3" s="1"/>
  <c r="AN189" i="3" s="1" a="1"/>
  <c r="AN189" i="3" s="1"/>
  <c r="AK153" i="3" a="1"/>
  <c r="AK153" i="3" s="1"/>
  <c r="AK154" i="3" s="1"/>
  <c r="AL151" i="3" s="1"/>
  <c r="AY285" i="3"/>
  <c r="AY293" i="3" s="1"/>
  <c r="AD117" i="3" a="1"/>
  <c r="AD117" i="3" s="1"/>
  <c r="AD118" i="3" s="1"/>
  <c r="AE115" i="3" s="1"/>
  <c r="AE116" i="3" s="1"/>
  <c r="AY288" i="3" a="1"/>
  <c r="AY288" i="3" s="1"/>
  <c r="AY289" i="3" s="1"/>
  <c r="AZ286" i="3" s="1"/>
  <c r="AZ288" i="3" s="1" a="1"/>
  <c r="AZ288" i="3" s="1"/>
  <c r="AM186" i="3"/>
  <c r="AM194" i="3" s="1"/>
  <c r="BD339" i="3"/>
  <c r="BD347" i="3" s="1"/>
  <c r="BD342" i="3" a="1"/>
  <c r="BD342" i="3" s="1"/>
  <c r="BD341" i="3"/>
  <c r="AO208" i="3"/>
  <c r="AP205" i="3" s="1"/>
  <c r="AP206" i="3" s="1"/>
  <c r="BE350" i="3"/>
  <c r="BE352" i="3" s="1"/>
  <c r="BF349" i="3" s="1"/>
  <c r="AF135" i="3" a="1"/>
  <c r="AF135" i="3" s="1"/>
  <c r="AJ28" i="5"/>
  <c r="AI17" i="7"/>
  <c r="BK393" i="3"/>
  <c r="BK401" i="3" s="1"/>
  <c r="BE348" i="3"/>
  <c r="BE356" i="3" s="1"/>
  <c r="AI17" i="4"/>
  <c r="AI28" i="6" s="1"/>
  <c r="AI31" i="6" s="1"/>
  <c r="AI13" i="6"/>
  <c r="AI6" i="4"/>
  <c r="AI21" i="6" s="1"/>
  <c r="AJ19" i="2"/>
  <c r="AM6" i="2"/>
  <c r="AM13" i="2" s="1"/>
  <c r="BD361" i="3"/>
  <c r="BE358" i="3" s="1"/>
  <c r="BE359" i="3" s="1"/>
  <c r="AB100" i="3"/>
  <c r="AC97" i="3" s="1"/>
  <c r="AC96" i="3" s="1"/>
  <c r="AC104" i="3" s="1"/>
  <c r="AB104" i="3"/>
  <c r="AB101" i="3"/>
  <c r="AG145" i="3"/>
  <c r="AH142" i="3" s="1"/>
  <c r="AH141" i="3" s="1"/>
  <c r="AH149" i="3" s="1"/>
  <c r="AC89" i="3"/>
  <c r="AC87" i="3"/>
  <c r="AC95" i="3" s="1"/>
  <c r="AC90" i="3" a="1"/>
  <c r="AC90" i="3" s="1"/>
  <c r="BA325" i="3"/>
  <c r="BB322" i="3" s="1"/>
  <c r="BB324" i="3" s="1" a="1"/>
  <c r="BB324" i="3" s="1"/>
  <c r="AB92" i="3"/>
  <c r="AY297" i="3" a="1"/>
  <c r="AY297" i="3" s="1"/>
  <c r="AY296" i="3"/>
  <c r="BK395" i="3"/>
  <c r="BK397" i="3" s="1"/>
  <c r="AL182" i="3"/>
  <c r="AE137" i="3"/>
  <c r="AF137" i="3" s="1"/>
  <c r="AD114" i="3"/>
  <c r="AD122" i="3" s="1"/>
  <c r="AF134" i="3"/>
  <c r="P19" i="3"/>
  <c r="P20" i="3"/>
  <c r="P23" i="3"/>
  <c r="R41" i="3"/>
  <c r="R38" i="3"/>
  <c r="R39" i="3" s="1"/>
  <c r="Q32" i="3"/>
  <c r="Q29" i="3"/>
  <c r="BC332" i="3"/>
  <c r="BC334" i="3" s="1"/>
  <c r="BD331" i="3" s="1"/>
  <c r="BF370" i="3"/>
  <c r="BG367" i="3" s="1"/>
  <c r="BG368" i="3" s="1"/>
  <c r="AV269" i="3"/>
  <c r="AL181" i="3"/>
  <c r="AM178" i="3" s="1"/>
  <c r="AV270" i="3" a="1"/>
  <c r="AV270" i="3" s="1"/>
  <c r="BC330" i="3"/>
  <c r="BC338" i="3" s="1"/>
  <c r="AI161" i="3"/>
  <c r="AI159" i="3"/>
  <c r="AI167" i="3" s="1"/>
  <c r="AI162" i="3" a="1"/>
  <c r="AI162" i="3" s="1"/>
  <c r="R37" i="3"/>
  <c r="AB219" i="3"/>
  <c r="Z82" i="3"/>
  <c r="AA79" i="3" s="1"/>
  <c r="AA80" i="3" s="1"/>
  <c r="AB220" i="3"/>
  <c r="AB229" i="3"/>
  <c r="AU249" i="3"/>
  <c r="AU257" i="3" s="1"/>
  <c r="AU251" i="3"/>
  <c r="AU252" i="3" a="1"/>
  <c r="AU252" i="3" s="1"/>
  <c r="AB228" i="3"/>
  <c r="BH388" i="3"/>
  <c r="BI385" i="3" s="1"/>
  <c r="BI384" i="3" s="1"/>
  <c r="BI392" i="3" s="1"/>
  <c r="AY316" i="3"/>
  <c r="AZ313" i="3" s="1"/>
  <c r="AZ315" i="3" s="1" a="1"/>
  <c r="AZ315" i="3" s="1"/>
  <c r="AO198" i="3" a="1"/>
  <c r="AO198" i="3" s="1"/>
  <c r="AO197" i="3"/>
  <c r="AO195" i="3"/>
  <c r="AO203" i="3" s="1"/>
  <c r="AO217" i="3"/>
  <c r="AP214" i="3" s="1"/>
  <c r="AQ231" i="3"/>
  <c r="AQ239" i="3" s="1"/>
  <c r="AQ233" i="3"/>
  <c r="AQ234" i="3" a="1"/>
  <c r="AQ234" i="3" s="1"/>
  <c r="Y69" i="3"/>
  <c r="Y74" i="3" s="1"/>
  <c r="Y72" i="3" a="1"/>
  <c r="Y72" i="3" s="1"/>
  <c r="Y71" i="3"/>
  <c r="BG379" i="3"/>
  <c r="BH376" i="3" s="1"/>
  <c r="AE108" i="3" a="1"/>
  <c r="AE108" i="3" s="1"/>
  <c r="AE105" i="3"/>
  <c r="AE113" i="3" s="1"/>
  <c r="AE107" i="3"/>
  <c r="AV262" i="3"/>
  <c r="AW259" i="3" s="1"/>
  <c r="Y60" i="3"/>
  <c r="Y62" i="3"/>
  <c r="AT243" i="3" a="1"/>
  <c r="AT243" i="3" s="1"/>
  <c r="AT240" i="3"/>
  <c r="AT248" i="3" s="1"/>
  <c r="AT242" i="3"/>
  <c r="AY307" i="3"/>
  <c r="AZ304" i="3" s="1"/>
  <c r="Z86" i="3"/>
  <c r="S49" i="3"/>
  <c r="T43" i="3"/>
  <c r="Q28" i="3"/>
  <c r="AJ171" i="3" a="1"/>
  <c r="AJ171" i="3" s="1"/>
  <c r="AJ170" i="3"/>
  <c r="AJ168" i="3"/>
  <c r="S48" i="3"/>
  <c r="AV278" i="3"/>
  <c r="AV279" i="3" a="1"/>
  <c r="AV279" i="3" s="1"/>
  <c r="AV276" i="3"/>
  <c r="AV284" i="3" s="1"/>
  <c r="AC236" i="3" a="1"/>
  <c r="AC236" i="3" s="1"/>
  <c r="AC193" i="3"/>
  <c r="AC192" i="3"/>
  <c r="AC165" i="3"/>
  <c r="AC166" i="3"/>
  <c r="AC139" i="3"/>
  <c r="AC138" i="3"/>
  <c r="AC112" i="3"/>
  <c r="AC111" i="3"/>
  <c r="AC156" i="3"/>
  <c r="AC157" i="3"/>
  <c r="AC210" i="3"/>
  <c r="AC211" i="3"/>
  <c r="AC212" i="3" s="1"/>
  <c r="AC147" i="3"/>
  <c r="AC148" i="3"/>
  <c r="AC202" i="3"/>
  <c r="AC201" i="3"/>
  <c r="AC130" i="3"/>
  <c r="AC129" i="3"/>
  <c r="AC184" i="3"/>
  <c r="AC185" i="3" s="1"/>
  <c r="AC183" i="3"/>
  <c r="AC219" i="3"/>
  <c r="AC220" i="3"/>
  <c r="AC121" i="3"/>
  <c r="AC120" i="3"/>
  <c r="AC229" i="3"/>
  <c r="AC228" i="3"/>
  <c r="AC174" i="3"/>
  <c r="AC175" i="3"/>
  <c r="N14" i="3"/>
  <c r="N4" i="3" s="1"/>
  <c r="N10" i="3"/>
  <c r="AJ18" i="4"/>
  <c r="AJ29" i="6" s="1"/>
  <c r="AJ16" i="4"/>
  <c r="AJ27" i="6" s="1"/>
  <c r="AV7" i="2"/>
  <c r="AK29" i="5"/>
  <c r="AJ18" i="7"/>
  <c r="AK25" i="5"/>
  <c r="AJ16" i="7"/>
  <c r="AJ28" i="4"/>
  <c r="AJ35" i="6" s="1"/>
  <c r="AJ22" i="5"/>
  <c r="AJ27" i="4" s="1"/>
  <c r="AJ34" i="6" s="1"/>
  <c r="AI15" i="7"/>
  <c r="AK5" i="2"/>
  <c r="AJ5" i="4"/>
  <c r="AJ20" i="6" s="1"/>
  <c r="AI20" i="6"/>
  <c r="AH21" i="6"/>
  <c r="F21" i="6" s="1"/>
  <c r="F6" i="4"/>
  <c r="AJ8" i="2"/>
  <c r="F27" i="4"/>
  <c r="F28" i="6"/>
  <c r="F17" i="4"/>
  <c r="F20" i="6"/>
  <c r="F27" i="6"/>
  <c r="F15" i="7"/>
  <c r="G21" i="8"/>
  <c r="Y65" i="3" l="1"/>
  <c r="AL150" i="3"/>
  <c r="AL158" i="3" s="1"/>
  <c r="X67" i="3"/>
  <c r="AG125" i="3"/>
  <c r="AG126" i="3" a="1"/>
  <c r="AG126" i="3" s="1"/>
  <c r="AG127" i="3" s="1"/>
  <c r="AH124" i="3" s="1"/>
  <c r="W55" i="3"/>
  <c r="W59" i="3"/>
  <c r="W56" i="3"/>
  <c r="AK218" i="3"/>
  <c r="AL218" i="3" s="1"/>
  <c r="AM218" i="3" s="1"/>
  <c r="AN218" i="3" s="1"/>
  <c r="AO218" i="3" s="1"/>
  <c r="AF136" i="3"/>
  <c r="AG133" i="3" s="1"/>
  <c r="AG135" i="3" s="1" a="1"/>
  <c r="AG135" i="3" s="1"/>
  <c r="AZ285" i="3"/>
  <c r="AZ293" i="3" s="1"/>
  <c r="AK155" i="3"/>
  <c r="AL155" i="3" s="1"/>
  <c r="BD343" i="3"/>
  <c r="BE340" i="3" s="1"/>
  <c r="BE342" i="3" s="1" a="1"/>
  <c r="BE342" i="3" s="1"/>
  <c r="AL152" i="3"/>
  <c r="AL153" i="3" a="1"/>
  <c r="AL153" i="3" s="1"/>
  <c r="AP207" i="3" a="1"/>
  <c r="AP207" i="3" s="1"/>
  <c r="AP208" i="3" s="1"/>
  <c r="AQ205" i="3" s="1"/>
  <c r="AQ206" i="3" s="1"/>
  <c r="AP226" i="3"/>
  <c r="AQ223" i="3" s="1"/>
  <c r="AP227" i="3"/>
  <c r="AZ287" i="3"/>
  <c r="AZ289" i="3" s="1"/>
  <c r="BA286" i="3" s="1"/>
  <c r="BA287" i="3" s="1"/>
  <c r="AM191" i="3"/>
  <c r="BE357" i="3"/>
  <c r="BE365" i="3" s="1"/>
  <c r="AP204" i="3"/>
  <c r="AP212" i="3" s="1"/>
  <c r="BF350" i="3"/>
  <c r="BF348" i="3"/>
  <c r="BF356" i="3" s="1"/>
  <c r="BF351" i="3" a="1"/>
  <c r="BF351" i="3" s="1"/>
  <c r="AN188" i="3"/>
  <c r="AN190" i="3" s="1"/>
  <c r="AO187" i="3" s="1"/>
  <c r="AK28" i="5"/>
  <c r="AJ17" i="7"/>
  <c r="AD119" i="3"/>
  <c r="AD120" i="3" s="1"/>
  <c r="AN186" i="3"/>
  <c r="AN194" i="3" s="1"/>
  <c r="BE360" i="3" a="1"/>
  <c r="BE360" i="3" s="1"/>
  <c r="BE361" i="3" s="1"/>
  <c r="BF358" i="3" s="1"/>
  <c r="BF360" i="3" s="1" a="1"/>
  <c r="BF360" i="3" s="1"/>
  <c r="AH143" i="3"/>
  <c r="AJ13" i="6"/>
  <c r="AJ17" i="4"/>
  <c r="AJ28" i="6" s="1"/>
  <c r="AJ31" i="6" s="1"/>
  <c r="AJ6" i="4"/>
  <c r="AJ21" i="6" s="1"/>
  <c r="AC99" i="3" a="1"/>
  <c r="AC99" i="3" s="1"/>
  <c r="AC98" i="3"/>
  <c r="AK19" i="2"/>
  <c r="AN6" i="2"/>
  <c r="AN13" i="2" s="1"/>
  <c r="AY298" i="3"/>
  <c r="AZ295" i="3" s="1"/>
  <c r="AZ296" i="3" s="1"/>
  <c r="AC92" i="3"/>
  <c r="AC93" i="3" s="1"/>
  <c r="AC101" i="3"/>
  <c r="AB103" i="3"/>
  <c r="AB102" i="3"/>
  <c r="AH146" i="3"/>
  <c r="AH144" i="3" a="1"/>
  <c r="AH144" i="3" s="1"/>
  <c r="BB321" i="3"/>
  <c r="BB329" i="3" s="1"/>
  <c r="AB94" i="3"/>
  <c r="BD332" i="3"/>
  <c r="BD333" i="3" a="1"/>
  <c r="BD333" i="3" s="1"/>
  <c r="AV271" i="3"/>
  <c r="AW268" i="3" s="1"/>
  <c r="AW267" i="3" s="1"/>
  <c r="AW275" i="3" s="1"/>
  <c r="AB93" i="3"/>
  <c r="AG128" i="3"/>
  <c r="BB323" i="3"/>
  <c r="BB325" i="3" s="1"/>
  <c r="BC322" i="3" s="1"/>
  <c r="BC324" i="3" s="1" a="1"/>
  <c r="BC324" i="3" s="1"/>
  <c r="AC91" i="3"/>
  <c r="BG369" i="3" a="1"/>
  <c r="BG369" i="3" s="1"/>
  <c r="BG370" i="3" s="1"/>
  <c r="BH367" i="3" s="1"/>
  <c r="AI164" i="3"/>
  <c r="AE110" i="3"/>
  <c r="AZ314" i="3"/>
  <c r="AZ316" i="3" s="1"/>
  <c r="BA313" i="3" s="1"/>
  <c r="Y73" i="3"/>
  <c r="Z70" i="3" s="1"/>
  <c r="Z69" i="3" s="1"/>
  <c r="BG366" i="3"/>
  <c r="BG374" i="3" s="1"/>
  <c r="AC237" i="3"/>
  <c r="AD236" i="3"/>
  <c r="AE236" i="3" s="1"/>
  <c r="AF236" i="3" s="1"/>
  <c r="AG236" i="3" s="1"/>
  <c r="AH236" i="3" s="1"/>
  <c r="AI236" i="3" s="1"/>
  <c r="AJ236" i="3" s="1"/>
  <c r="AJ176" i="3"/>
  <c r="AJ173" i="3"/>
  <c r="AO200" i="3"/>
  <c r="Q16" i="3"/>
  <c r="P22" i="3"/>
  <c r="P21" i="3"/>
  <c r="Q30" i="3"/>
  <c r="R40" i="3"/>
  <c r="N12" i="3"/>
  <c r="N2" i="3" s="1"/>
  <c r="N5" i="3"/>
  <c r="AG134" i="3"/>
  <c r="AG136" i="3" s="1"/>
  <c r="AH133" i="3" s="1"/>
  <c r="AM179" i="3"/>
  <c r="AM180" i="3" a="1"/>
  <c r="AM180" i="3" s="1"/>
  <c r="AM177" i="3"/>
  <c r="AM185" i="3" s="1"/>
  <c r="AE117" i="3" a="1"/>
  <c r="AE117" i="3" s="1"/>
  <c r="AE118" i="3" s="1"/>
  <c r="AF115" i="3" s="1"/>
  <c r="AE114" i="3"/>
  <c r="AE122" i="3" s="1"/>
  <c r="AV280" i="3"/>
  <c r="AW277" i="3" s="1"/>
  <c r="AW278" i="3" s="1"/>
  <c r="AI163" i="3"/>
  <c r="AJ160" i="3" s="1"/>
  <c r="AA81" i="3" a="1"/>
  <c r="AA81" i="3" s="1"/>
  <c r="AA82" i="3" s="1"/>
  <c r="S34" i="3"/>
  <c r="S33" i="3" s="1"/>
  <c r="S38" i="3" s="1"/>
  <c r="AA78" i="3"/>
  <c r="BD330" i="3"/>
  <c r="BD338" i="3" s="1"/>
  <c r="AQ235" i="3"/>
  <c r="AR232" i="3" s="1"/>
  <c r="AR231" i="3" s="1"/>
  <c r="AR239" i="3" s="1"/>
  <c r="AU253" i="3"/>
  <c r="AV250" i="3" s="1"/>
  <c r="AV251" i="3" s="1"/>
  <c r="BI386" i="3"/>
  <c r="BI387" i="3" a="1"/>
  <c r="BI387" i="3" s="1"/>
  <c r="AT244" i="3"/>
  <c r="AU241" i="3" s="1"/>
  <c r="AU242" i="3" s="1"/>
  <c r="AZ312" i="3"/>
  <c r="AZ320" i="3" s="1"/>
  <c r="AE109" i="3"/>
  <c r="AF106" i="3" s="1"/>
  <c r="AF108" i="3" s="1" a="1"/>
  <c r="AF108" i="3" s="1"/>
  <c r="Z84" i="3"/>
  <c r="Q31" i="3"/>
  <c r="R25" i="3"/>
  <c r="Y64" i="3"/>
  <c r="AP216" i="3" a="1"/>
  <c r="AP216" i="3" s="1"/>
  <c r="AP215" i="3"/>
  <c r="AP213" i="3"/>
  <c r="AP221" i="3" s="1"/>
  <c r="Y68" i="3"/>
  <c r="Y66" i="3"/>
  <c r="AW261" i="3" a="1"/>
  <c r="AW261" i="3" s="1"/>
  <c r="AW258" i="3"/>
  <c r="AW266" i="3" s="1"/>
  <c r="AW260" i="3"/>
  <c r="Y77" i="3"/>
  <c r="AC238" i="3"/>
  <c r="T45" i="3" a="1"/>
  <c r="T45" i="3" s="1"/>
  <c r="T42" i="3"/>
  <c r="T47" i="3" s="1"/>
  <c r="T44" i="3"/>
  <c r="Z85" i="3"/>
  <c r="BH378" i="3" a="1"/>
  <c r="BH378" i="3" s="1"/>
  <c r="BH377" i="3"/>
  <c r="BH375" i="3"/>
  <c r="BH383" i="3" s="1"/>
  <c r="AJ172" i="3"/>
  <c r="AK169" i="3" s="1"/>
  <c r="AZ305" i="3"/>
  <c r="AZ303" i="3"/>
  <c r="AZ311" i="3" s="1"/>
  <c r="AZ306" i="3" a="1"/>
  <c r="AZ306" i="3" s="1"/>
  <c r="AO199" i="3"/>
  <c r="AP196" i="3" s="1"/>
  <c r="AD245" i="3" a="1"/>
  <c r="AD245" i="3" s="1"/>
  <c r="AD130" i="3"/>
  <c r="AD129" i="3"/>
  <c r="AD147" i="3"/>
  <c r="AD148" i="3"/>
  <c r="AD112" i="3"/>
  <c r="AD111" i="3"/>
  <c r="AD219" i="3"/>
  <c r="AD220" i="3"/>
  <c r="AD221" i="3" s="1"/>
  <c r="AD175" i="3"/>
  <c r="AD174" i="3"/>
  <c r="AD229" i="3"/>
  <c r="AD228" i="3"/>
  <c r="AD211" i="3"/>
  <c r="AD210" i="3"/>
  <c r="AD138" i="3"/>
  <c r="AD139" i="3"/>
  <c r="AD183" i="3"/>
  <c r="AD184" i="3"/>
  <c r="AD201" i="3"/>
  <c r="AD202" i="3"/>
  <c r="AD166" i="3"/>
  <c r="AD165" i="3"/>
  <c r="AD192" i="3"/>
  <c r="AD193" i="3"/>
  <c r="AD194" i="3" s="1"/>
  <c r="AD156" i="3"/>
  <c r="AD157" i="3"/>
  <c r="N13" i="3"/>
  <c r="N3" i="3" s="1"/>
  <c r="U22" i="2" s="1"/>
  <c r="U14" i="6" s="1"/>
  <c r="O7" i="3"/>
  <c r="AK18" i="4"/>
  <c r="AK29" i="6" s="1"/>
  <c r="AK16" i="4"/>
  <c r="AK27" i="6" s="1"/>
  <c r="AW7" i="2"/>
  <c r="AL25" i="5"/>
  <c r="AK16" i="7"/>
  <c r="AK28" i="4"/>
  <c r="AK35" i="6" s="1"/>
  <c r="AK22" i="5"/>
  <c r="AK27" i="4" s="1"/>
  <c r="AK34" i="6" s="1"/>
  <c r="AJ15" i="7"/>
  <c r="AL29" i="5"/>
  <c r="AK18" i="7"/>
  <c r="AL5" i="2"/>
  <c r="F31" i="10"/>
  <c r="F29" i="10"/>
  <c r="F28" i="10"/>
  <c r="F30" i="10"/>
  <c r="F27" i="10"/>
  <c r="AK5" i="4"/>
  <c r="AK8" i="2"/>
  <c r="F34" i="6"/>
  <c r="BE339" i="3" l="1"/>
  <c r="BE347" i="3" s="1"/>
  <c r="AG132" i="3"/>
  <c r="AG140" i="3" s="1"/>
  <c r="X52" i="3"/>
  <c r="W58" i="3"/>
  <c r="W57" i="3"/>
  <c r="BE341" i="3"/>
  <c r="BE343" i="3" s="1"/>
  <c r="BF340" i="3" s="1"/>
  <c r="BF342" i="3" s="1" a="1"/>
  <c r="BF342" i="3" s="1"/>
  <c r="AK236" i="3"/>
  <c r="AL236" i="3" s="1"/>
  <c r="AM236" i="3" s="1"/>
  <c r="AN236" i="3" s="1"/>
  <c r="AO236" i="3" s="1"/>
  <c r="AP236" i="3" s="1"/>
  <c r="AQ236" i="3" s="1"/>
  <c r="AR236" i="3" s="1"/>
  <c r="BA312" i="3"/>
  <c r="BA320" i="3" s="1"/>
  <c r="AL154" i="3"/>
  <c r="AM151" i="3" s="1"/>
  <c r="AM150" i="3" s="1"/>
  <c r="AM158" i="3" s="1"/>
  <c r="AQ207" i="3" a="1"/>
  <c r="AQ207" i="3" s="1"/>
  <c r="AQ208" i="3" s="1"/>
  <c r="AR205" i="3" s="1"/>
  <c r="AR206" i="3" s="1"/>
  <c r="AQ204" i="3"/>
  <c r="AQ212" i="3" s="1"/>
  <c r="AH145" i="3"/>
  <c r="AI142" i="3" s="1"/>
  <c r="AI141" i="3" s="1"/>
  <c r="AI149" i="3" s="1"/>
  <c r="AQ225" i="3" a="1"/>
  <c r="AQ225" i="3" s="1"/>
  <c r="AQ224" i="3"/>
  <c r="AQ222" i="3"/>
  <c r="AP209" i="3"/>
  <c r="BF352" i="3"/>
  <c r="BG349" i="3" s="1"/>
  <c r="BG350" i="3" s="1"/>
  <c r="AW279" i="3" a="1"/>
  <c r="AW279" i="3" s="1"/>
  <c r="AW280" i="3" s="1"/>
  <c r="AX277" i="3" s="1"/>
  <c r="AX278" i="3" s="1"/>
  <c r="AN191" i="3"/>
  <c r="BC323" i="3"/>
  <c r="BC325" i="3" s="1"/>
  <c r="BD322" i="3" s="1"/>
  <c r="BD324" i="3" s="1" a="1"/>
  <c r="BD324" i="3" s="1"/>
  <c r="AD121" i="3"/>
  <c r="AK17" i="7"/>
  <c r="AL28" i="5"/>
  <c r="AH134" i="3"/>
  <c r="BC321" i="3"/>
  <c r="BC329" i="3" s="1"/>
  <c r="AC100" i="3"/>
  <c r="AD97" i="3" s="1"/>
  <c r="AD99" i="3" s="1" a="1"/>
  <c r="AD99" i="3" s="1"/>
  <c r="BD334" i="3"/>
  <c r="BE331" i="3" s="1"/>
  <c r="BE333" i="3" s="1" a="1"/>
  <c r="BE333" i="3" s="1"/>
  <c r="AZ294" i="3"/>
  <c r="AZ302" i="3" s="1"/>
  <c r="AZ297" i="3" a="1"/>
  <c r="AZ297" i="3" s="1"/>
  <c r="AZ298" i="3" s="1"/>
  <c r="BA295" i="3" s="1"/>
  <c r="Z71" i="3"/>
  <c r="BF357" i="3"/>
  <c r="BF365" i="3" s="1"/>
  <c r="BF359" i="3"/>
  <c r="BF361" i="3" s="1"/>
  <c r="BG358" i="3" s="1"/>
  <c r="AD237" i="3"/>
  <c r="AO186" i="3"/>
  <c r="AO188" i="3"/>
  <c r="AO189" i="3" a="1"/>
  <c r="AO189" i="3" s="1"/>
  <c r="AK13" i="6"/>
  <c r="AK17" i="4"/>
  <c r="AK28" i="6" s="1"/>
  <c r="AK31" i="6" s="1"/>
  <c r="AK6" i="4"/>
  <c r="AK21" i="6" s="1"/>
  <c r="AL19" i="2"/>
  <c r="AO6" i="2"/>
  <c r="AO13" i="2" s="1"/>
  <c r="AW269" i="3"/>
  <c r="AC102" i="3"/>
  <c r="BA288" i="3" a="1"/>
  <c r="BA288" i="3" s="1"/>
  <c r="BA289" i="3" s="1"/>
  <c r="BB286" i="3" s="1"/>
  <c r="BA285" i="3"/>
  <c r="BA293" i="3" s="1"/>
  <c r="AW270" i="3" a="1"/>
  <c r="AW270" i="3" s="1"/>
  <c r="AD88" i="3"/>
  <c r="AC94" i="3"/>
  <c r="Z77" i="3"/>
  <c r="Z74" i="3"/>
  <c r="AD246" i="3"/>
  <c r="AE245" i="3"/>
  <c r="AF245" i="3" s="1"/>
  <c r="AG245" i="3" s="1"/>
  <c r="AH245" i="3" s="1"/>
  <c r="AI245" i="3" s="1"/>
  <c r="AJ245" i="3" s="1"/>
  <c r="AK245" i="3" s="1"/>
  <c r="AL245" i="3" s="1"/>
  <c r="AM245" i="3" s="1"/>
  <c r="AN245" i="3" s="1"/>
  <c r="AO245" i="3" s="1"/>
  <c r="AP245" i="3" s="1"/>
  <c r="AQ245" i="3" s="1"/>
  <c r="AR245" i="3" s="1"/>
  <c r="AS245" i="3" s="1"/>
  <c r="AT245" i="3" s="1"/>
  <c r="AE119" i="3"/>
  <c r="AE121" i="3" s="1"/>
  <c r="Z72" i="3" a="1"/>
  <c r="Z72" i="3" s="1"/>
  <c r="AW262" i="3"/>
  <c r="AX259" i="3" s="1"/>
  <c r="AX261" i="3" s="1" a="1"/>
  <c r="AX261" i="3" s="1"/>
  <c r="AH135" i="3" a="1"/>
  <c r="AH135" i="3" s="1"/>
  <c r="AM182" i="3"/>
  <c r="AG137" i="3"/>
  <c r="AA86" i="3"/>
  <c r="AA83" i="3"/>
  <c r="AA84" i="3" s="1"/>
  <c r="AP218" i="3"/>
  <c r="Q18" i="3" a="1"/>
  <c r="Q18" i="3" s="1"/>
  <c r="Q17" i="3"/>
  <c r="Q15" i="3"/>
  <c r="S36" i="3" a="1"/>
  <c r="S36" i="3" s="1"/>
  <c r="AR234" i="3" a="1"/>
  <c r="AR234" i="3" s="1"/>
  <c r="AM181" i="3"/>
  <c r="AN178" i="3" s="1"/>
  <c r="AR233" i="3"/>
  <c r="AU240" i="3"/>
  <c r="AU248" i="3" s="1"/>
  <c r="AW276" i="3"/>
  <c r="AW284" i="3" s="1"/>
  <c r="AP217" i="3"/>
  <c r="AQ214" i="3" s="1"/>
  <c r="AQ215" i="3" s="1"/>
  <c r="AV252" i="3" a="1"/>
  <c r="AV252" i="3" s="1"/>
  <c r="AV253" i="3" s="1"/>
  <c r="AW250" i="3" s="1"/>
  <c r="AJ159" i="3"/>
  <c r="AJ167" i="3" s="1"/>
  <c r="AJ161" i="3"/>
  <c r="AJ162" i="3" a="1"/>
  <c r="AJ162" i="3" s="1"/>
  <c r="AV249" i="3"/>
  <c r="AV257" i="3" s="1"/>
  <c r="AU243" i="3" a="1"/>
  <c r="AU243" i="3" s="1"/>
  <c r="AU244" i="3" s="1"/>
  <c r="AV241" i="3" s="1"/>
  <c r="S35" i="3"/>
  <c r="BA315" i="3" a="1"/>
  <c r="BA315" i="3" s="1"/>
  <c r="AF107" i="3"/>
  <c r="AF109" i="3" s="1"/>
  <c r="AG106" i="3" s="1"/>
  <c r="BA314" i="3"/>
  <c r="AF105" i="3"/>
  <c r="AF113" i="3" s="1"/>
  <c r="S41" i="3"/>
  <c r="BI388" i="3"/>
  <c r="BJ385" i="3" s="1"/>
  <c r="AZ307" i="3"/>
  <c r="BA304" i="3" s="1"/>
  <c r="BA306" i="3" s="1" a="1"/>
  <c r="BA306" i="3" s="1"/>
  <c r="Y76" i="3"/>
  <c r="T50" i="3"/>
  <c r="T48" i="3"/>
  <c r="AF117" i="3" a="1"/>
  <c r="AF117" i="3" s="1"/>
  <c r="AF114" i="3"/>
  <c r="AF122" i="3" s="1"/>
  <c r="AF116" i="3"/>
  <c r="AB79" i="3"/>
  <c r="Y67" i="3"/>
  <c r="Z61" i="3"/>
  <c r="AP195" i="3"/>
  <c r="AP203" i="3" s="1"/>
  <c r="AP197" i="3"/>
  <c r="AP198" i="3" a="1"/>
  <c r="AP198" i="3" s="1"/>
  <c r="AK171" i="3" a="1"/>
  <c r="AK171" i="3" s="1"/>
  <c r="AK170" i="3"/>
  <c r="AK168" i="3"/>
  <c r="AK176" i="3" s="1"/>
  <c r="AD247" i="3"/>
  <c r="BH366" i="3"/>
  <c r="BH374" i="3" s="1"/>
  <c r="BH369" i="3" a="1"/>
  <c r="BH369" i="3" s="1"/>
  <c r="BH368" i="3"/>
  <c r="AE238" i="3"/>
  <c r="AH123" i="3"/>
  <c r="AH125" i="3"/>
  <c r="AH126" i="3" a="1"/>
  <c r="AH126" i="3" s="1"/>
  <c r="AD238" i="3"/>
  <c r="Y75" i="3"/>
  <c r="BH379" i="3"/>
  <c r="BI376" i="3" s="1"/>
  <c r="T46" i="3"/>
  <c r="R24" i="3"/>
  <c r="R29" i="3" s="1"/>
  <c r="R27" i="3" a="1"/>
  <c r="R27" i="3" s="1"/>
  <c r="R26" i="3"/>
  <c r="AE254" i="3" a="1"/>
  <c r="AE254" i="3" s="1"/>
  <c r="AE183" i="3"/>
  <c r="AE184" i="3"/>
  <c r="AE228" i="3"/>
  <c r="AE229" i="3"/>
  <c r="AE230" i="3" s="1"/>
  <c r="AE210" i="3"/>
  <c r="AE211" i="3"/>
  <c r="AE111" i="3"/>
  <c r="AE112" i="3"/>
  <c r="AE165" i="3"/>
  <c r="AE166" i="3"/>
  <c r="AE156" i="3"/>
  <c r="AE157" i="3"/>
  <c r="AE138" i="3"/>
  <c r="AE139" i="3"/>
  <c r="AE174" i="3"/>
  <c r="AE175" i="3"/>
  <c r="AE148" i="3"/>
  <c r="AE147" i="3"/>
  <c r="AE219" i="3"/>
  <c r="AE220" i="3"/>
  <c r="AE192" i="3"/>
  <c r="AE193" i="3"/>
  <c r="AE201" i="3"/>
  <c r="AE202" i="3"/>
  <c r="AE203" i="3" s="1"/>
  <c r="AE129" i="3"/>
  <c r="AE130" i="3"/>
  <c r="O9" i="3" a="1"/>
  <c r="O9" i="3" s="1"/>
  <c r="O6" i="3"/>
  <c r="O11" i="3" s="1"/>
  <c r="O8" i="3"/>
  <c r="AL18" i="4"/>
  <c r="AL29" i="6" s="1"/>
  <c r="AL16" i="4"/>
  <c r="AL27" i="6" s="1"/>
  <c r="AX7" i="2"/>
  <c r="AM29" i="5"/>
  <c r="AL18" i="7"/>
  <c r="AL22" i="5"/>
  <c r="AL27" i="4" s="1"/>
  <c r="AL34" i="6" s="1"/>
  <c r="AK15" i="7"/>
  <c r="AM25" i="5"/>
  <c r="AL16" i="7"/>
  <c r="AL28" i="4"/>
  <c r="AL35" i="6" s="1"/>
  <c r="AM5" i="2"/>
  <c r="F32" i="10"/>
  <c r="F33" i="10"/>
  <c r="AL5" i="4"/>
  <c r="AL20" i="6" s="1"/>
  <c r="AK20" i="6"/>
  <c r="AL8" i="2"/>
  <c r="AH132" i="3" l="1"/>
  <c r="AH140" i="3" s="1"/>
  <c r="X53" i="3"/>
  <c r="X54" i="3" a="1"/>
  <c r="X54" i="3" s="1"/>
  <c r="X51" i="3"/>
  <c r="AR207" i="3" a="1"/>
  <c r="AR207" i="3" s="1"/>
  <c r="AR208" i="3" s="1"/>
  <c r="AS205" i="3" s="1"/>
  <c r="AS206" i="3" s="1"/>
  <c r="AR204" i="3"/>
  <c r="AR212" i="3" s="1"/>
  <c r="AQ209" i="3"/>
  <c r="AM153" i="3" a="1"/>
  <c r="AM153" i="3" s="1"/>
  <c r="AM155" i="3"/>
  <c r="AM152" i="3"/>
  <c r="AI144" i="3" a="1"/>
  <c r="AI144" i="3" s="1"/>
  <c r="AI143" i="3"/>
  <c r="BG348" i="3"/>
  <c r="BG356" i="3" s="1"/>
  <c r="AQ226" i="3"/>
  <c r="AR223" i="3" s="1"/>
  <c r="AR222" i="3" s="1"/>
  <c r="AR230" i="3" s="1"/>
  <c r="BG351" i="3" a="1"/>
  <c r="BG351" i="3" s="1"/>
  <c r="BG352" i="3" s="1"/>
  <c r="BH349" i="3" s="1"/>
  <c r="BH350" i="3" s="1"/>
  <c r="AQ230" i="3"/>
  <c r="AQ227" i="3"/>
  <c r="AX260" i="3"/>
  <c r="AX262" i="3" s="1"/>
  <c r="AY259" i="3" s="1"/>
  <c r="BF341" i="3"/>
  <c r="BF343" i="3" s="1"/>
  <c r="BG340" i="3" s="1"/>
  <c r="AH136" i="3"/>
  <c r="AI133" i="3" s="1"/>
  <c r="AI132" i="3" s="1"/>
  <c r="AI140" i="3" s="1"/>
  <c r="AD98" i="3"/>
  <c r="AD100" i="3" s="1"/>
  <c r="AE97" i="3" s="1"/>
  <c r="AE98" i="3" s="1"/>
  <c r="AX258" i="3"/>
  <c r="AX266" i="3" s="1"/>
  <c r="AD96" i="3"/>
  <c r="AD104" i="3" s="1"/>
  <c r="BE332" i="3"/>
  <c r="BE334" i="3" s="1"/>
  <c r="BF331" i="3" s="1"/>
  <c r="BF333" i="3" s="1" a="1"/>
  <c r="BF333" i="3" s="1"/>
  <c r="AC103" i="3"/>
  <c r="BE330" i="3"/>
  <c r="BE338" i="3" s="1"/>
  <c r="AI146" i="3"/>
  <c r="AL17" i="7"/>
  <c r="AM28" i="5"/>
  <c r="BF339" i="3"/>
  <c r="BF347" i="3" s="1"/>
  <c r="AQ213" i="3"/>
  <c r="AQ221" i="3" s="1"/>
  <c r="AQ216" i="3" a="1"/>
  <c r="AQ216" i="3" s="1"/>
  <c r="AQ217" i="3" s="1"/>
  <c r="AR214" i="3" s="1"/>
  <c r="AL13" i="6"/>
  <c r="AL17" i="4"/>
  <c r="AL28" i="6" s="1"/>
  <c r="AL31" i="6" s="1"/>
  <c r="AL6" i="4"/>
  <c r="AL21" i="6" s="1"/>
  <c r="AM19" i="2"/>
  <c r="AP6" i="2"/>
  <c r="AP13" i="2" s="1"/>
  <c r="AO190" i="3"/>
  <c r="AP187" i="3" s="1"/>
  <c r="AO194" i="3"/>
  <c r="AO191" i="3"/>
  <c r="AW271" i="3"/>
  <c r="AX268" i="3" s="1"/>
  <c r="AX270" i="3" s="1" a="1"/>
  <c r="AX270" i="3" s="1"/>
  <c r="AR235" i="3"/>
  <c r="AS232" i="3" s="1"/>
  <c r="AS231" i="3" s="1"/>
  <c r="AS239" i="3" s="1"/>
  <c r="AU245" i="3"/>
  <c r="AE120" i="3"/>
  <c r="BA316" i="3"/>
  <c r="BB313" i="3" s="1"/>
  <c r="BB315" i="3" s="1" a="1"/>
  <c r="BB315" i="3" s="1"/>
  <c r="AA85" i="3"/>
  <c r="AJ163" i="3"/>
  <c r="AK160" i="3" s="1"/>
  <c r="AK161" i="3" s="1"/>
  <c r="Q19" i="3"/>
  <c r="R16" i="3" s="1"/>
  <c r="R18" i="3" s="1" a="1"/>
  <c r="R18" i="3" s="1"/>
  <c r="AD90" i="3" a="1"/>
  <c r="AD90" i="3" s="1"/>
  <c r="AD87" i="3"/>
  <c r="AD89" i="3"/>
  <c r="Z75" i="3"/>
  <c r="AK173" i="3"/>
  <c r="AV240" i="3"/>
  <c r="AV248" i="3" s="1"/>
  <c r="AV243" i="3" a="1"/>
  <c r="AV243" i="3" s="1"/>
  <c r="AV242" i="3"/>
  <c r="AH131" i="3"/>
  <c r="AH128" i="3"/>
  <c r="AE247" i="3"/>
  <c r="Z73" i="3"/>
  <c r="Z76" i="3" s="1"/>
  <c r="AF110" i="3"/>
  <c r="AF111" i="3" s="1"/>
  <c r="AP200" i="3"/>
  <c r="AJ164" i="3"/>
  <c r="AE255" i="3"/>
  <c r="AF254" i="3"/>
  <c r="AG254" i="3" s="1"/>
  <c r="AH254" i="3" s="1"/>
  <c r="AI254" i="3" s="1"/>
  <c r="AJ254" i="3" s="1"/>
  <c r="AF118" i="3"/>
  <c r="AG115" i="3" s="1"/>
  <c r="AG117" i="3" s="1" a="1"/>
  <c r="AG117" i="3" s="1"/>
  <c r="AF119" i="3"/>
  <c r="Q23" i="3"/>
  <c r="Q20" i="3"/>
  <c r="S37" i="3"/>
  <c r="S40" i="3" s="1"/>
  <c r="AX279" i="3" a="1"/>
  <c r="AX279" i="3" s="1"/>
  <c r="AX280" i="3" s="1"/>
  <c r="AY277" i="3" s="1"/>
  <c r="AX276" i="3"/>
  <c r="AX284" i="3" s="1"/>
  <c r="AN177" i="3"/>
  <c r="AN185" i="3" s="1"/>
  <c r="AN180" i="3" a="1"/>
  <c r="AN180" i="3" s="1"/>
  <c r="AN179" i="3"/>
  <c r="AW251" i="3"/>
  <c r="AW252" i="3" a="1"/>
  <c r="AW252" i="3" s="1"/>
  <c r="AE256" i="3"/>
  <c r="AE246" i="3"/>
  <c r="AW249" i="3"/>
  <c r="AW257" i="3" s="1"/>
  <c r="BJ386" i="3"/>
  <c r="BJ387" i="3" a="1"/>
  <c r="BJ387" i="3" s="1"/>
  <c r="BJ384" i="3"/>
  <c r="BJ392" i="3" s="1"/>
  <c r="S39" i="3"/>
  <c r="BA305" i="3"/>
  <c r="BA307" i="3" s="1"/>
  <c r="BB304" i="3" s="1"/>
  <c r="BB305" i="3" s="1"/>
  <c r="BD323" i="3"/>
  <c r="BD325" i="3" s="1"/>
  <c r="BE322" i="3" s="1"/>
  <c r="BA303" i="3"/>
  <c r="BA311" i="3" s="1"/>
  <c r="BH370" i="3"/>
  <c r="BI367" i="3" s="1"/>
  <c r="BI369" i="3" s="1" a="1"/>
  <c r="BI369" i="3" s="1"/>
  <c r="BD321" i="3"/>
  <c r="BD329" i="3" s="1"/>
  <c r="R28" i="3"/>
  <c r="S25" i="3" s="1"/>
  <c r="S24" i="3" s="1"/>
  <c r="S32" i="3" s="1"/>
  <c r="R32" i="3"/>
  <c r="AB80" i="3"/>
  <c r="AB81" i="3" a="1"/>
  <c r="AB81" i="3" s="1"/>
  <c r="AB78" i="3"/>
  <c r="AB83" i="3" s="1"/>
  <c r="BB288" i="3" a="1"/>
  <c r="BB288" i="3" s="1"/>
  <c r="BB285" i="3"/>
  <c r="BB293" i="3" s="1"/>
  <c r="BB287" i="3"/>
  <c r="AE237" i="3"/>
  <c r="BI378" i="3" a="1"/>
  <c r="BI378" i="3" s="1"/>
  <c r="BI377" i="3"/>
  <c r="BI375" i="3"/>
  <c r="BI383" i="3" s="1"/>
  <c r="AP199" i="3"/>
  <c r="AQ196" i="3" s="1"/>
  <c r="AH127" i="3"/>
  <c r="AI124" i="3" s="1"/>
  <c r="BG357" i="3"/>
  <c r="BG365" i="3" s="1"/>
  <c r="BG360" i="3" a="1"/>
  <c r="BG360" i="3" s="1"/>
  <c r="BG359" i="3"/>
  <c r="T49" i="3"/>
  <c r="U43" i="3"/>
  <c r="BA297" i="3" a="1"/>
  <c r="BA297" i="3" s="1"/>
  <c r="BA296" i="3"/>
  <c r="BA294" i="3"/>
  <c r="BA302" i="3" s="1"/>
  <c r="AG107" i="3"/>
  <c r="AG105" i="3"/>
  <c r="AG113" i="3" s="1"/>
  <c r="AG108" i="3" a="1"/>
  <c r="AG108" i="3" s="1"/>
  <c r="Z63" i="3" a="1"/>
  <c r="Z63" i="3" s="1"/>
  <c r="Z60" i="3"/>
  <c r="Z65" i="3" s="1"/>
  <c r="Z62" i="3"/>
  <c r="AS204" i="3"/>
  <c r="AS212" i="3" s="1"/>
  <c r="AK172" i="3"/>
  <c r="AL169" i="3" s="1"/>
  <c r="AF263" i="3" a="1"/>
  <c r="AF263" i="3" s="1"/>
  <c r="AF238" i="3"/>
  <c r="AF239" i="3" s="1"/>
  <c r="AF237" i="3"/>
  <c r="AF201" i="3"/>
  <c r="AF202" i="3"/>
  <c r="AF165" i="3"/>
  <c r="AF166" i="3"/>
  <c r="AF183" i="3"/>
  <c r="AF184" i="3"/>
  <c r="AF129" i="3"/>
  <c r="AF130" i="3"/>
  <c r="AF138" i="3"/>
  <c r="AF139" i="3"/>
  <c r="AF210" i="3"/>
  <c r="AF211" i="3"/>
  <c r="AF212" i="3" s="1"/>
  <c r="AF192" i="3"/>
  <c r="AF193" i="3"/>
  <c r="AF156" i="3"/>
  <c r="AF157" i="3"/>
  <c r="AF247" i="3"/>
  <c r="AF246" i="3"/>
  <c r="AF219" i="3"/>
  <c r="AF220" i="3"/>
  <c r="AF148" i="3"/>
  <c r="AF147" i="3"/>
  <c r="AF174" i="3"/>
  <c r="AF175" i="3"/>
  <c r="AF228" i="3"/>
  <c r="AF229" i="3"/>
  <c r="O10" i="3"/>
  <c r="P7" i="3" s="1"/>
  <c r="O14" i="3"/>
  <c r="O4" i="3" s="1"/>
  <c r="AM18" i="4"/>
  <c r="AM29" i="6" s="1"/>
  <c r="AM16" i="4"/>
  <c r="AM27" i="6" s="1"/>
  <c r="AY7" i="2"/>
  <c r="AN25" i="5"/>
  <c r="AM16" i="7"/>
  <c r="AM28" i="4"/>
  <c r="AM35" i="6" s="1"/>
  <c r="AM22" i="5"/>
  <c r="AM27" i="4" s="1"/>
  <c r="AM34" i="6" s="1"/>
  <c r="AL15" i="7"/>
  <c r="AN29" i="5"/>
  <c r="AM18" i="7"/>
  <c r="AN5" i="2"/>
  <c r="AM5" i="4"/>
  <c r="AM20" i="6" s="1"/>
  <c r="AM8" i="2"/>
  <c r="AR209" i="3" l="1"/>
  <c r="AS207" i="3" a="1"/>
  <c r="AS207" i="3" s="1"/>
  <c r="AS208" i="3" s="1"/>
  <c r="AT205" i="3" s="1"/>
  <c r="AT207" i="3" s="1" a="1"/>
  <c r="AT207" i="3" s="1"/>
  <c r="AH137" i="3"/>
  <c r="X59" i="3"/>
  <c r="X56" i="3"/>
  <c r="X57" i="3" s="1"/>
  <c r="X55" i="3"/>
  <c r="AM154" i="3"/>
  <c r="AN151" i="3" s="1"/>
  <c r="AN152" i="3" s="1"/>
  <c r="AK254" i="3"/>
  <c r="AL254" i="3" s="1"/>
  <c r="AM254" i="3" s="1"/>
  <c r="AN254" i="3" s="1"/>
  <c r="AO254" i="3" s="1"/>
  <c r="AP254" i="3" s="1"/>
  <c r="AQ254" i="3" s="1"/>
  <c r="AR254" i="3" s="1"/>
  <c r="AS254" i="3" s="1"/>
  <c r="AT254" i="3" s="1"/>
  <c r="AU254" i="3" s="1"/>
  <c r="AV254" i="3" s="1"/>
  <c r="AW254" i="3" s="1"/>
  <c r="AI145" i="3"/>
  <c r="AJ142" i="3" s="1"/>
  <c r="AJ143" i="3" s="1"/>
  <c r="BE321" i="3"/>
  <c r="BE329" i="3" s="1"/>
  <c r="AR225" i="3" a="1"/>
  <c r="AR225" i="3" s="1"/>
  <c r="AI135" i="3" a="1"/>
  <c r="AI135" i="3" s="1"/>
  <c r="AR224" i="3"/>
  <c r="AI134" i="3"/>
  <c r="AE99" i="3" a="1"/>
  <c r="AE99" i="3" s="1"/>
  <c r="AE100" i="3" s="1"/>
  <c r="AF97" i="3" s="1"/>
  <c r="AF99" i="3" s="1" a="1"/>
  <c r="AF99" i="3" s="1"/>
  <c r="AR227" i="3"/>
  <c r="AD101" i="3"/>
  <c r="AD103" i="3" s="1"/>
  <c r="AE96" i="3"/>
  <c r="AE104" i="3" s="1"/>
  <c r="AS233" i="3"/>
  <c r="AS234" i="3" a="1"/>
  <c r="AS234" i="3" s="1"/>
  <c r="AQ218" i="3"/>
  <c r="BG361" i="3"/>
  <c r="BH358" i="3" s="1"/>
  <c r="BH360" i="3" s="1" a="1"/>
  <c r="BH360" i="3" s="1"/>
  <c r="AI137" i="3"/>
  <c r="AK159" i="3"/>
  <c r="AK167" i="3" s="1"/>
  <c r="AG116" i="3"/>
  <c r="AG118" i="3" s="1"/>
  <c r="AH115" i="3" s="1"/>
  <c r="AG114" i="3"/>
  <c r="AG122" i="3" s="1"/>
  <c r="AM17" i="7"/>
  <c r="AN28" i="5"/>
  <c r="AK162" i="3" a="1"/>
  <c r="AK162" i="3" s="1"/>
  <c r="AK163" i="3" s="1"/>
  <c r="AL160" i="3" s="1"/>
  <c r="AV244" i="3"/>
  <c r="AW241" i="3" s="1"/>
  <c r="AW242" i="3" s="1"/>
  <c r="AF255" i="3"/>
  <c r="AF256" i="3"/>
  <c r="AF112" i="3"/>
  <c r="AM13" i="6"/>
  <c r="AM17" i="4"/>
  <c r="AM28" i="6" s="1"/>
  <c r="AM31" i="6" s="1"/>
  <c r="AM6" i="4"/>
  <c r="AA70" i="3"/>
  <c r="AA69" i="3" s="1"/>
  <c r="AA74" i="3" s="1"/>
  <c r="AN19" i="2"/>
  <c r="AQ6" i="2"/>
  <c r="AQ13" i="2" s="1"/>
  <c r="AP189" i="3" a="1"/>
  <c r="AP189" i="3" s="1"/>
  <c r="AP186" i="3"/>
  <c r="AP194" i="3" s="1"/>
  <c r="AP188" i="3"/>
  <c r="BB314" i="3"/>
  <c r="BB316" i="3" s="1"/>
  <c r="BC313" i="3" s="1"/>
  <c r="BC314" i="3" s="1"/>
  <c r="BB312" i="3"/>
  <c r="BB320" i="3" s="1"/>
  <c r="AX269" i="3"/>
  <c r="AX271" i="3" s="1"/>
  <c r="AY268" i="3" s="1"/>
  <c r="AX267" i="3"/>
  <c r="AX275" i="3" s="1"/>
  <c r="R15" i="3"/>
  <c r="R20" i="3" s="1"/>
  <c r="R17" i="3"/>
  <c r="R19" i="3" s="1"/>
  <c r="S16" i="3" s="1"/>
  <c r="BH351" i="3" a="1"/>
  <c r="BH351" i="3" s="1"/>
  <c r="BH352" i="3" s="1"/>
  <c r="BI349" i="3" s="1"/>
  <c r="BI351" i="3" s="1" a="1"/>
  <c r="BI351" i="3" s="1"/>
  <c r="AW253" i="3"/>
  <c r="AX250" i="3" s="1"/>
  <c r="AX251" i="3" s="1"/>
  <c r="Q22" i="3"/>
  <c r="BB306" i="3" a="1"/>
  <c r="BB306" i="3" s="1"/>
  <c r="BB307" i="3" s="1"/>
  <c r="BC304" i="3" s="1"/>
  <c r="AS236" i="3"/>
  <c r="AV245" i="3"/>
  <c r="AD91" i="3"/>
  <c r="AN182" i="3"/>
  <c r="AD95" i="3"/>
  <c r="AD92" i="3"/>
  <c r="AF264" i="3"/>
  <c r="AG263" i="3"/>
  <c r="AH263" i="3" s="1"/>
  <c r="AI263" i="3" s="1"/>
  <c r="AJ263" i="3" s="1"/>
  <c r="AK263" i="3" s="1"/>
  <c r="AL263" i="3" s="1"/>
  <c r="AM263" i="3" s="1"/>
  <c r="AN263" i="3" s="1"/>
  <c r="AO263" i="3" s="1"/>
  <c r="AP263" i="3" s="1"/>
  <c r="AQ263" i="3" s="1"/>
  <c r="AR263" i="3" s="1"/>
  <c r="AS263" i="3" s="1"/>
  <c r="AT263" i="3" s="1"/>
  <c r="AU263" i="3" s="1"/>
  <c r="AV263" i="3" s="1"/>
  <c r="AW263" i="3" s="1"/>
  <c r="AX263" i="3" s="1"/>
  <c r="BB303" i="3"/>
  <c r="BB311" i="3" s="1"/>
  <c r="BE323" i="3"/>
  <c r="BH348" i="3"/>
  <c r="BH356" i="3" s="1"/>
  <c r="AS209" i="3"/>
  <c r="AF121" i="3"/>
  <c r="AF120" i="3"/>
  <c r="AG110" i="3"/>
  <c r="AG111" i="3" s="1"/>
  <c r="Q21" i="3"/>
  <c r="T34" i="3"/>
  <c r="T36" i="3" s="1" a="1"/>
  <c r="T36" i="3" s="1"/>
  <c r="S29" i="3"/>
  <c r="O12" i="3"/>
  <c r="O2" i="3" s="1"/>
  <c r="O5" i="3"/>
  <c r="AN181" i="3"/>
  <c r="AO178" i="3" s="1"/>
  <c r="BG341" i="3"/>
  <c r="BG342" i="3" a="1"/>
  <c r="BG342" i="3" s="1"/>
  <c r="BG339" i="3"/>
  <c r="BG347" i="3" s="1"/>
  <c r="S27" i="3" a="1"/>
  <c r="S27" i="3" s="1"/>
  <c r="BF332" i="3"/>
  <c r="BF334" i="3" s="1"/>
  <c r="BG331" i="3" s="1"/>
  <c r="BF330" i="3"/>
  <c r="BF338" i="3" s="1"/>
  <c r="BB289" i="3"/>
  <c r="BC286" i="3" s="1"/>
  <c r="BC288" i="3" s="1" a="1"/>
  <c r="BC288" i="3" s="1"/>
  <c r="BJ388" i="3"/>
  <c r="BK385" i="3" s="1"/>
  <c r="BA298" i="3"/>
  <c r="BB295" i="3" s="1"/>
  <c r="BB297" i="3" s="1" a="1"/>
  <c r="BB297" i="3" s="1"/>
  <c r="BE324" i="3" a="1"/>
  <c r="BE324" i="3" s="1"/>
  <c r="Z64" i="3"/>
  <c r="AA61" i="3" s="1"/>
  <c r="AA63" i="3" s="1" a="1"/>
  <c r="AA63" i="3" s="1"/>
  <c r="BI379" i="3"/>
  <c r="BJ376" i="3" s="1"/>
  <c r="BJ378" i="3" s="1" a="1"/>
  <c r="BJ378" i="3" s="1"/>
  <c r="AB82" i="3"/>
  <c r="AC79" i="3" s="1"/>
  <c r="AC81" i="3" s="1" a="1"/>
  <c r="AC81" i="3" s="1"/>
  <c r="BI368" i="3"/>
  <c r="BI370" i="3" s="1"/>
  <c r="BJ367" i="3" s="1"/>
  <c r="BI366" i="3"/>
  <c r="BI374" i="3" s="1"/>
  <c r="S26" i="3"/>
  <c r="AY258" i="3"/>
  <c r="AY266" i="3" s="1"/>
  <c r="AY261" i="3" a="1"/>
  <c r="AY261" i="3" s="1"/>
  <c r="AY260" i="3"/>
  <c r="AY279" i="3" a="1"/>
  <c r="AY279" i="3" s="1"/>
  <c r="AY278" i="3"/>
  <c r="AY276" i="3"/>
  <c r="AY284" i="3" s="1"/>
  <c r="AL170" i="3"/>
  <c r="AL171" i="3" a="1"/>
  <c r="AL171" i="3" s="1"/>
  <c r="AL168" i="3"/>
  <c r="R30" i="3"/>
  <c r="R31" i="3"/>
  <c r="AB86" i="3"/>
  <c r="AB84" i="3"/>
  <c r="AR215" i="3"/>
  <c r="AR213" i="3"/>
  <c r="AR216" i="3" a="1"/>
  <c r="AR216" i="3" s="1"/>
  <c r="AQ195" i="3"/>
  <c r="AQ203" i="3" s="1"/>
  <c r="AQ197" i="3"/>
  <c r="AQ198" i="3" a="1"/>
  <c r="AQ198" i="3" s="1"/>
  <c r="AG109" i="3"/>
  <c r="AH106" i="3" s="1"/>
  <c r="AF265" i="3"/>
  <c r="Z68" i="3"/>
  <c r="U45" i="3" a="1"/>
  <c r="U45" i="3" s="1"/>
  <c r="U42" i="3"/>
  <c r="U47" i="3" s="1"/>
  <c r="U44" i="3"/>
  <c r="AI123" i="3"/>
  <c r="AI131" i="3" s="1"/>
  <c r="AI126" i="3" a="1"/>
  <c r="AI126" i="3" s="1"/>
  <c r="AI125" i="3"/>
  <c r="AG272" i="3" a="1"/>
  <c r="AG272" i="3" s="1"/>
  <c r="AG192" i="3"/>
  <c r="AG193" i="3"/>
  <c r="AG183" i="3"/>
  <c r="AG184" i="3"/>
  <c r="AG255" i="3"/>
  <c r="AG256" i="3"/>
  <c r="AG175" i="3"/>
  <c r="AG174" i="3"/>
  <c r="AG219" i="3"/>
  <c r="AG220" i="3"/>
  <c r="AG221" i="3" s="1"/>
  <c r="AG246" i="3"/>
  <c r="AG247" i="3"/>
  <c r="AG248" i="3" s="1"/>
  <c r="AG139" i="3"/>
  <c r="AG138" i="3"/>
  <c r="AG228" i="3"/>
  <c r="AG229" i="3"/>
  <c r="AG166" i="3"/>
  <c r="AG165" i="3"/>
  <c r="AG210" i="3"/>
  <c r="AG211" i="3"/>
  <c r="AG238" i="3"/>
  <c r="AG237" i="3"/>
  <c r="AG157" i="3"/>
  <c r="AG156" i="3"/>
  <c r="AG130" i="3"/>
  <c r="AG129" i="3"/>
  <c r="AG148" i="3"/>
  <c r="AG147" i="3"/>
  <c r="AG201" i="3"/>
  <c r="AG202" i="3"/>
  <c r="P8" i="3"/>
  <c r="P6" i="3"/>
  <c r="P11" i="3" s="1"/>
  <c r="P9" i="3" a="1"/>
  <c r="P9" i="3" s="1"/>
  <c r="O13" i="3"/>
  <c r="O3" i="3" s="1"/>
  <c r="AN16" i="4"/>
  <c r="AN27" i="6" s="1"/>
  <c r="AN18" i="4"/>
  <c r="AN29" i="6" s="1"/>
  <c r="AZ7" i="2"/>
  <c r="AO29" i="5"/>
  <c r="AN18" i="7"/>
  <c r="AN22" i="5"/>
  <c r="AN27" i="4" s="1"/>
  <c r="AN34" i="6" s="1"/>
  <c r="AM15" i="7"/>
  <c r="AO25" i="5"/>
  <c r="AN16" i="7"/>
  <c r="AN28" i="4"/>
  <c r="AN35" i="6" s="1"/>
  <c r="AO5" i="2"/>
  <c r="AN5" i="4"/>
  <c r="AN20" i="6" s="1"/>
  <c r="AN8" i="2"/>
  <c r="AY267" i="3" l="1"/>
  <c r="AY275" i="3" s="1"/>
  <c r="Y52" i="3"/>
  <c r="X58" i="3"/>
  <c r="AN150" i="3"/>
  <c r="AN158" i="3" s="1"/>
  <c r="AN153" i="3" a="1"/>
  <c r="AN153" i="3" s="1"/>
  <c r="AN154" i="3" s="1"/>
  <c r="AO151" i="3" s="1"/>
  <c r="AO152" i="3" s="1"/>
  <c r="AJ144" i="3" a="1"/>
  <c r="AJ144" i="3" s="1"/>
  <c r="AJ145" i="3" s="1"/>
  <c r="AK142" i="3" s="1"/>
  <c r="AK143" i="3" s="1"/>
  <c r="AR226" i="3"/>
  <c r="AS223" i="3" s="1"/>
  <c r="AS222" i="3" s="1"/>
  <c r="AS230" i="3" s="1"/>
  <c r="AJ141" i="3"/>
  <c r="AJ149" i="3" s="1"/>
  <c r="AI136" i="3"/>
  <c r="AJ133" i="3" s="1"/>
  <c r="AJ134" i="3" s="1"/>
  <c r="BH357" i="3"/>
  <c r="BH365" i="3" s="1"/>
  <c r="AD102" i="3"/>
  <c r="AS235" i="3"/>
  <c r="AT232" i="3" s="1"/>
  <c r="AT231" i="3" s="1"/>
  <c r="AE101" i="3"/>
  <c r="AE102" i="3" s="1"/>
  <c r="BH359" i="3"/>
  <c r="BH361" i="3" s="1"/>
  <c r="BI358" i="3" s="1"/>
  <c r="BI357" i="3" s="1"/>
  <c r="BI365" i="3" s="1"/>
  <c r="AW243" i="3" a="1"/>
  <c r="AW243" i="3" s="1"/>
  <c r="AW244" i="3" s="1"/>
  <c r="AX241" i="3" s="1"/>
  <c r="AX243" i="3" s="1" a="1"/>
  <c r="AX243" i="3" s="1"/>
  <c r="AK164" i="3"/>
  <c r="AF96" i="3"/>
  <c r="AF104" i="3" s="1"/>
  <c r="AG119" i="3"/>
  <c r="AG120" i="3" s="1"/>
  <c r="AW240" i="3"/>
  <c r="AW248" i="3" s="1"/>
  <c r="AN17" i="7"/>
  <c r="AO28" i="5"/>
  <c r="AX249" i="3"/>
  <c r="AX257" i="3" s="1"/>
  <c r="AX252" i="3" a="1"/>
  <c r="AX252" i="3" s="1"/>
  <c r="AX253" i="3" s="1"/>
  <c r="AY250" i="3" s="1"/>
  <c r="AA72" i="3" a="1"/>
  <c r="AA72" i="3" s="1"/>
  <c r="AF98" i="3"/>
  <c r="AF100" i="3" s="1"/>
  <c r="AG97" i="3" s="1"/>
  <c r="AA71" i="3"/>
  <c r="AP191" i="3"/>
  <c r="AG264" i="3"/>
  <c r="AN13" i="6"/>
  <c r="AN17" i="4"/>
  <c r="AN28" i="6" s="1"/>
  <c r="AN31" i="6" s="1"/>
  <c r="AN6" i="4"/>
  <c r="AN21" i="6" s="1"/>
  <c r="AY270" i="3" a="1"/>
  <c r="AY270" i="3" s="1"/>
  <c r="AR6" i="2"/>
  <c r="AR13" i="2" s="1"/>
  <c r="AO19" i="2"/>
  <c r="AY269" i="3"/>
  <c r="AP190" i="3"/>
  <c r="AQ187" i="3" s="1"/>
  <c r="R23" i="3"/>
  <c r="AT206" i="3"/>
  <c r="AT208" i="3" s="1"/>
  <c r="AU205" i="3" s="1"/>
  <c r="AT204" i="3"/>
  <c r="AT212" i="3" s="1"/>
  <c r="V22" i="2"/>
  <c r="BC287" i="3"/>
  <c r="BC289" i="3" s="1"/>
  <c r="BD286" i="3" s="1"/>
  <c r="BD288" i="3" s="1" a="1"/>
  <c r="BD288" i="3" s="1"/>
  <c r="AE88" i="3"/>
  <c r="AD94" i="3"/>
  <c r="AA62" i="3"/>
  <c r="AA64" i="3" s="1"/>
  <c r="T33" i="3"/>
  <c r="T38" i="3" s="1"/>
  <c r="AD93" i="3"/>
  <c r="AG274" i="3"/>
  <c r="AH272" i="3"/>
  <c r="AI272" i="3" s="1"/>
  <c r="AJ272" i="3" s="1"/>
  <c r="AK272" i="3" s="1"/>
  <c r="AL272" i="3" s="1"/>
  <c r="AM272" i="3" s="1"/>
  <c r="AN272" i="3" s="1"/>
  <c r="AO272" i="3" s="1"/>
  <c r="AP272" i="3" s="1"/>
  <c r="AQ272" i="3" s="1"/>
  <c r="AR272" i="3" s="1"/>
  <c r="AS272" i="3" s="1"/>
  <c r="AT272" i="3" s="1"/>
  <c r="AU272" i="3" s="1"/>
  <c r="AV272" i="3" s="1"/>
  <c r="AW272" i="3" s="1"/>
  <c r="AX272" i="3" s="1"/>
  <c r="AY272" i="3" s="1"/>
  <c r="AY263" i="3"/>
  <c r="AR221" i="3"/>
  <c r="AR218" i="3"/>
  <c r="BE325" i="3"/>
  <c r="BF322" i="3" s="1"/>
  <c r="BF323" i="3" s="1"/>
  <c r="AL176" i="3"/>
  <c r="AL173" i="3"/>
  <c r="T35" i="3"/>
  <c r="T37" i="3" s="1"/>
  <c r="U34" i="3" s="1"/>
  <c r="AQ200" i="3"/>
  <c r="AI128" i="3"/>
  <c r="P14" i="3"/>
  <c r="P4" i="3" s="1"/>
  <c r="S28" i="3"/>
  <c r="S31" i="3" s="1"/>
  <c r="R22" i="3"/>
  <c r="S15" i="3"/>
  <c r="S23" i="3" s="1"/>
  <c r="S18" i="3" a="1"/>
  <c r="S18" i="3" s="1"/>
  <c r="S17" i="3"/>
  <c r="R21" i="3"/>
  <c r="S30" i="3"/>
  <c r="AY262" i="3"/>
  <c r="AZ259" i="3" s="1"/>
  <c r="AZ261" i="3" s="1" a="1"/>
  <c r="AZ261" i="3" s="1"/>
  <c r="BJ375" i="3"/>
  <c r="BJ383" i="3" s="1"/>
  <c r="BG343" i="3"/>
  <c r="BH340" i="3" s="1"/>
  <c r="AR217" i="3"/>
  <c r="AS214" i="3" s="1"/>
  <c r="AS216" i="3" s="1" a="1"/>
  <c r="AS216" i="3" s="1"/>
  <c r="BI350" i="3"/>
  <c r="BI352" i="3" s="1"/>
  <c r="BJ349" i="3" s="1"/>
  <c r="AA60" i="3"/>
  <c r="BI348" i="3"/>
  <c r="BI356" i="3" s="1"/>
  <c r="AO179" i="3"/>
  <c r="AO177" i="3"/>
  <c r="AO180" i="3" a="1"/>
  <c r="AO180" i="3" s="1"/>
  <c r="AY280" i="3"/>
  <c r="AZ277" i="3" s="1"/>
  <c r="AZ279" i="3" s="1" a="1"/>
  <c r="AZ279" i="3" s="1"/>
  <c r="AQ199" i="3"/>
  <c r="AR196" i="3" s="1"/>
  <c r="AR195" i="3" s="1"/>
  <c r="AR203" i="3" s="1"/>
  <c r="BC315" i="3" a="1"/>
  <c r="BC315" i="3" s="1"/>
  <c r="BC316" i="3" s="1"/>
  <c r="BD313" i="3" s="1"/>
  <c r="BC312" i="3"/>
  <c r="BC320" i="3" s="1"/>
  <c r="U46" i="3"/>
  <c r="V43" i="3" s="1"/>
  <c r="V45" i="3" s="1" a="1"/>
  <c r="V45" i="3" s="1"/>
  <c r="BJ377" i="3"/>
  <c r="BJ379" i="3" s="1"/>
  <c r="BK376" i="3" s="1"/>
  <c r="AL162" i="3" a="1"/>
  <c r="AL162" i="3" s="1"/>
  <c r="AL159" i="3"/>
  <c r="AL167" i="3" s="1"/>
  <c r="AL161" i="3"/>
  <c r="BG330" i="3"/>
  <c r="BG338" i="3" s="1"/>
  <c r="BG332" i="3"/>
  <c r="BG333" i="3" a="1"/>
  <c r="BG333" i="3" s="1"/>
  <c r="AC80" i="3"/>
  <c r="AC82" i="3" s="1"/>
  <c r="AD79" i="3" s="1"/>
  <c r="BB296" i="3"/>
  <c r="BB298" i="3" s="1"/>
  <c r="BC295" i="3" s="1"/>
  <c r="BC296" i="3" s="1"/>
  <c r="AI127" i="3"/>
  <c r="AJ124" i="3" s="1"/>
  <c r="AJ126" i="3" s="1" a="1"/>
  <c r="AJ126" i="3" s="1"/>
  <c r="AC78" i="3"/>
  <c r="BB294" i="3"/>
  <c r="BB302" i="3" s="1"/>
  <c r="BC285" i="3"/>
  <c r="BC293" i="3" s="1"/>
  <c r="AB85" i="3"/>
  <c r="BK386" i="3"/>
  <c r="BK387" i="3" a="1"/>
  <c r="BK387" i="3" s="1"/>
  <c r="BK384" i="3"/>
  <c r="BK392" i="3" s="1"/>
  <c r="AG273" i="3"/>
  <c r="Z66" i="3"/>
  <c r="AL172" i="3"/>
  <c r="AM169" i="3" s="1"/>
  <c r="AM170" i="3" s="1"/>
  <c r="AH114" i="3"/>
  <c r="AH116" i="3"/>
  <c r="AH117" i="3" a="1"/>
  <c r="AH117" i="3" s="1"/>
  <c r="Z67" i="3"/>
  <c r="AH264" i="3"/>
  <c r="BJ369" i="3" a="1"/>
  <c r="BJ369" i="3" s="1"/>
  <c r="BJ366" i="3"/>
  <c r="BJ374" i="3" s="1"/>
  <c r="BJ368" i="3"/>
  <c r="AG265" i="3"/>
  <c r="BC303" i="3"/>
  <c r="BC311" i="3" s="1"/>
  <c r="BC306" i="3" a="1"/>
  <c r="BC306" i="3" s="1"/>
  <c r="BC305" i="3"/>
  <c r="U50" i="3"/>
  <c r="AH107" i="3"/>
  <c r="AH108" i="3" a="1"/>
  <c r="AH108" i="3" s="1"/>
  <c r="AH105" i="3"/>
  <c r="AH110" i="3" s="1"/>
  <c r="AG112" i="3"/>
  <c r="AA77" i="3"/>
  <c r="AH281" i="3" a="1"/>
  <c r="AH281" i="3" s="1"/>
  <c r="AH201" i="3"/>
  <c r="AH202" i="3"/>
  <c r="AH238" i="3"/>
  <c r="AH237" i="3"/>
  <c r="AH156" i="3"/>
  <c r="AH157" i="3"/>
  <c r="AH166" i="3"/>
  <c r="AH165" i="3"/>
  <c r="AH247" i="3"/>
  <c r="AH246" i="3"/>
  <c r="AH265" i="3"/>
  <c r="AH193" i="3"/>
  <c r="AH192" i="3"/>
  <c r="AH211" i="3"/>
  <c r="AH210" i="3"/>
  <c r="AH228" i="3"/>
  <c r="AH229" i="3"/>
  <c r="AH230" i="3" s="1"/>
  <c r="AH255" i="3"/>
  <c r="AH256" i="3"/>
  <c r="AH257" i="3" s="1"/>
  <c r="AH219" i="3"/>
  <c r="AH220" i="3"/>
  <c r="AH174" i="3"/>
  <c r="AH175" i="3"/>
  <c r="AH147" i="3"/>
  <c r="AH148" i="3"/>
  <c r="AH129" i="3"/>
  <c r="AH130" i="3"/>
  <c r="AH138" i="3"/>
  <c r="AH139" i="3"/>
  <c r="AH183" i="3"/>
  <c r="AH184" i="3"/>
  <c r="P10" i="3"/>
  <c r="AO16" i="4"/>
  <c r="AO27" i="6" s="1"/>
  <c r="AO18" i="4"/>
  <c r="AO29" i="6" s="1"/>
  <c r="BA7" i="2"/>
  <c r="AP25" i="5"/>
  <c r="AO16" i="7"/>
  <c r="AO28" i="4"/>
  <c r="AO35" i="6" s="1"/>
  <c r="AN15" i="7"/>
  <c r="AO22" i="5"/>
  <c r="AO27" i="4" s="1"/>
  <c r="AO34" i="6" s="1"/>
  <c r="AP29" i="5"/>
  <c r="AO18" i="7"/>
  <c r="AP5" i="2"/>
  <c r="AO5" i="4"/>
  <c r="AO20" i="6" s="1"/>
  <c r="AM21" i="6"/>
  <c r="AO8" i="2"/>
  <c r="AO153" i="3" l="1" a="1"/>
  <c r="AO153" i="3" s="1"/>
  <c r="AO150" i="3"/>
  <c r="AO158" i="3" s="1"/>
  <c r="AN155" i="3"/>
  <c r="AD78" i="3"/>
  <c r="AD86" i="3" s="1"/>
  <c r="AS224" i="3"/>
  <c r="AS225" i="3" a="1"/>
  <c r="AS225" i="3" s="1"/>
  <c r="AJ146" i="3"/>
  <c r="Y54" i="3" a="1"/>
  <c r="Y54" i="3" s="1"/>
  <c r="Y53" i="3"/>
  <c r="Y51" i="3"/>
  <c r="AT233" i="3"/>
  <c r="AK144" i="3" a="1"/>
  <c r="AK144" i="3" s="1"/>
  <c r="AK145" i="3" s="1"/>
  <c r="AL142" i="3" s="1"/>
  <c r="AL141" i="3" s="1"/>
  <c r="AL149" i="3" s="1"/>
  <c r="AJ132" i="3"/>
  <c r="AJ140" i="3" s="1"/>
  <c r="AK141" i="3"/>
  <c r="AK149" i="3" s="1"/>
  <c r="AJ135" i="3" a="1"/>
  <c r="AJ135" i="3" s="1"/>
  <c r="AJ136" i="3" s="1"/>
  <c r="AK133" i="3" s="1"/>
  <c r="AF101" i="3"/>
  <c r="AF102" i="3" s="1"/>
  <c r="AE103" i="3"/>
  <c r="AZ260" i="3"/>
  <c r="AZ262" i="3" s="1"/>
  <c r="BA259" i="3" s="1"/>
  <c r="AT234" i="3" a="1"/>
  <c r="AT234" i="3" s="1"/>
  <c r="AT235" i="3" s="1"/>
  <c r="AU232" i="3" s="1"/>
  <c r="AZ276" i="3"/>
  <c r="AZ284" i="3" s="1"/>
  <c r="AX240" i="3"/>
  <c r="AX248" i="3" s="1"/>
  <c r="AX242" i="3"/>
  <c r="AX244" i="3" s="1"/>
  <c r="AY241" i="3" s="1"/>
  <c r="AY242" i="3" s="1"/>
  <c r="AS227" i="3"/>
  <c r="AG121" i="3"/>
  <c r="AH119" i="3"/>
  <c r="AW245" i="3"/>
  <c r="AX254" i="3"/>
  <c r="AR198" i="3" a="1"/>
  <c r="AR198" i="3" s="1"/>
  <c r="AR197" i="3"/>
  <c r="AZ258" i="3"/>
  <c r="AZ266" i="3" s="1"/>
  <c r="T25" i="3"/>
  <c r="T27" i="3" s="1" a="1"/>
  <c r="T27" i="3" s="1"/>
  <c r="AO17" i="7"/>
  <c r="AP28" i="5"/>
  <c r="AA73" i="3"/>
  <c r="AA76" i="3" s="1"/>
  <c r="AT209" i="3"/>
  <c r="AY271" i="3"/>
  <c r="AZ268" i="3" s="1"/>
  <c r="AZ267" i="3" s="1"/>
  <c r="AZ275" i="3" s="1"/>
  <c r="AG96" i="3"/>
  <c r="AG104" i="3" s="1"/>
  <c r="AG99" i="3" a="1"/>
  <c r="AG99" i="3" s="1"/>
  <c r="AG98" i="3"/>
  <c r="AQ189" i="3" a="1"/>
  <c r="AQ189" i="3" s="1"/>
  <c r="AQ186" i="3"/>
  <c r="AQ194" i="3" s="1"/>
  <c r="AQ188" i="3"/>
  <c r="E22" i="2"/>
  <c r="V14" i="6"/>
  <c r="AO13" i="6"/>
  <c r="AO17" i="4"/>
  <c r="AO28" i="6" s="1"/>
  <c r="AO31" i="6" s="1"/>
  <c r="AO6" i="4"/>
  <c r="AO21" i="6" s="1"/>
  <c r="AS6" i="2"/>
  <c r="AS13" i="2" s="1"/>
  <c r="AP19" i="2"/>
  <c r="AD81" i="3" a="1"/>
  <c r="AD81" i="3" s="1"/>
  <c r="AM168" i="3"/>
  <c r="AM176" i="3" s="1"/>
  <c r="AH274" i="3"/>
  <c r="AM171" i="3" a="1"/>
  <c r="AM171" i="3" s="1"/>
  <c r="AM172" i="3" s="1"/>
  <c r="AN169" i="3" s="1"/>
  <c r="AH273" i="3"/>
  <c r="BF324" i="3" a="1"/>
  <c r="BF324" i="3" s="1"/>
  <c r="BF325" i="3" s="1"/>
  <c r="BG322" i="3" s="1"/>
  <c r="BF321" i="3"/>
  <c r="BF329" i="3" s="1"/>
  <c r="AE87" i="3"/>
  <c r="AE89" i="3"/>
  <c r="AE90" i="3" a="1"/>
  <c r="AE90" i="3" s="1"/>
  <c r="T41" i="3"/>
  <c r="AJ125" i="3"/>
  <c r="AJ127" i="3" s="1"/>
  <c r="AK124" i="3" s="1"/>
  <c r="AS213" i="3"/>
  <c r="AS221" i="3" s="1"/>
  <c r="BI359" i="3"/>
  <c r="AO185" i="3"/>
  <c r="AO182" i="3"/>
  <c r="AL164" i="3"/>
  <c r="AS215" i="3"/>
  <c r="AS217" i="3" s="1"/>
  <c r="AT214" i="3" s="1"/>
  <c r="AT239" i="3"/>
  <c r="AT236" i="3"/>
  <c r="BI360" i="3" a="1"/>
  <c r="BI360" i="3" s="1"/>
  <c r="BG334" i="3"/>
  <c r="BH331" i="3" s="1"/>
  <c r="BH333" i="3" s="1" a="1"/>
  <c r="BH333" i="3" s="1"/>
  <c r="AO181" i="3"/>
  <c r="AP178" i="3" s="1"/>
  <c r="AP180" i="3" s="1" a="1"/>
  <c r="AP180" i="3" s="1"/>
  <c r="AO155" i="3"/>
  <c r="AH282" i="3"/>
  <c r="AI281" i="3"/>
  <c r="AJ281" i="3" s="1"/>
  <c r="AK281" i="3" s="1"/>
  <c r="AL281" i="3" s="1"/>
  <c r="AM281" i="3" s="1"/>
  <c r="AN281" i="3" s="1"/>
  <c r="AO281" i="3" s="1"/>
  <c r="AP281" i="3" s="1"/>
  <c r="AQ281" i="3" s="1"/>
  <c r="AR281" i="3" s="1"/>
  <c r="AS281" i="3" s="1"/>
  <c r="AT281" i="3" s="1"/>
  <c r="AU281" i="3" s="1"/>
  <c r="AV281" i="3" s="1"/>
  <c r="AW281" i="3" s="1"/>
  <c r="AX281" i="3" s="1"/>
  <c r="AY281" i="3" s="1"/>
  <c r="AR200" i="3"/>
  <c r="BC294" i="3"/>
  <c r="BC302" i="3" s="1"/>
  <c r="AD80" i="3"/>
  <c r="AZ278" i="3"/>
  <c r="AZ280" i="3" s="1"/>
  <c r="BA277" i="3" s="1"/>
  <c r="AA68" i="3"/>
  <c r="AA65" i="3"/>
  <c r="AC86" i="3"/>
  <c r="AC83" i="3"/>
  <c r="AD83" i="3" s="1"/>
  <c r="S19" i="3"/>
  <c r="S20" i="3"/>
  <c r="S21" i="3" s="1"/>
  <c r="P12" i="3"/>
  <c r="P2" i="3" s="1"/>
  <c r="P5" i="3"/>
  <c r="V44" i="3"/>
  <c r="V46" i="3" s="1"/>
  <c r="W43" i="3" s="1"/>
  <c r="W44" i="3" s="1"/>
  <c r="BH339" i="3"/>
  <c r="BH347" i="3" s="1"/>
  <c r="BH341" i="3"/>
  <c r="BH342" i="3" a="1"/>
  <c r="BH342" i="3" s="1"/>
  <c r="V42" i="3"/>
  <c r="BK375" i="3"/>
  <c r="BK383" i="3" s="1"/>
  <c r="BK378" i="3" a="1"/>
  <c r="BK378" i="3" s="1"/>
  <c r="BK377" i="3"/>
  <c r="BC297" i="3" a="1"/>
  <c r="BC297" i="3" s="1"/>
  <c r="BC298" i="3" s="1"/>
  <c r="BD295" i="3" s="1"/>
  <c r="BK388" i="3"/>
  <c r="AL163" i="3"/>
  <c r="AM160" i="3" s="1"/>
  <c r="AJ123" i="3"/>
  <c r="AJ131" i="3" s="1"/>
  <c r="AH283" i="3"/>
  <c r="BJ351" i="3" a="1"/>
  <c r="BJ351" i="3" s="1"/>
  <c r="BJ348" i="3"/>
  <c r="BJ356" i="3" s="1"/>
  <c r="BJ350" i="3"/>
  <c r="T39" i="3"/>
  <c r="BD287" i="3"/>
  <c r="BD289" i="3" s="1"/>
  <c r="BE286" i="3" s="1"/>
  <c r="U36" i="3" a="1"/>
  <c r="U36" i="3" s="1"/>
  <c r="U35" i="3"/>
  <c r="U33" i="3"/>
  <c r="BD285" i="3"/>
  <c r="BD293" i="3" s="1"/>
  <c r="T40" i="3"/>
  <c r="AO154" i="3"/>
  <c r="AP151" i="3" s="1"/>
  <c r="AP153" i="3" s="1" a="1"/>
  <c r="AP153" i="3" s="1"/>
  <c r="U49" i="3"/>
  <c r="U48" i="3"/>
  <c r="BJ370" i="3"/>
  <c r="BK367" i="3" s="1"/>
  <c r="AH122" i="3"/>
  <c r="BC307" i="3"/>
  <c r="BD304" i="3" s="1"/>
  <c r="BD315" i="3" a="1"/>
  <c r="BD315" i="3" s="1"/>
  <c r="BD312" i="3"/>
  <c r="BD320" i="3" s="1"/>
  <c r="BD314" i="3"/>
  <c r="AH113" i="3"/>
  <c r="AH109" i="3"/>
  <c r="AU204" i="3"/>
  <c r="AU212" i="3" s="1"/>
  <c r="AU207" i="3" a="1"/>
  <c r="AU207" i="3" s="1"/>
  <c r="AU206" i="3"/>
  <c r="AB61" i="3"/>
  <c r="AY249" i="3"/>
  <c r="AY257" i="3" s="1"/>
  <c r="AY251" i="3"/>
  <c r="AY252" i="3" a="1"/>
  <c r="AY252" i="3" s="1"/>
  <c r="AA75" i="3"/>
  <c r="AH118" i="3"/>
  <c r="AI290" i="3" a="1"/>
  <c r="AI290" i="3" s="1"/>
  <c r="AI229" i="3"/>
  <c r="AI228" i="3"/>
  <c r="AI157" i="3"/>
  <c r="AI156" i="3"/>
  <c r="AI174" i="3"/>
  <c r="AI175" i="3"/>
  <c r="AI219" i="3"/>
  <c r="AI220" i="3"/>
  <c r="AI246" i="3"/>
  <c r="AI247" i="3"/>
  <c r="AI139" i="3"/>
  <c r="AI138" i="3"/>
  <c r="AI130" i="3"/>
  <c r="AI129" i="3"/>
  <c r="AI274" i="3"/>
  <c r="AI273" i="3"/>
  <c r="AI165" i="3"/>
  <c r="AI166" i="3"/>
  <c r="AI237" i="3"/>
  <c r="AI238" i="3"/>
  <c r="AI239" i="3" s="1"/>
  <c r="AI183" i="3"/>
  <c r="AI184" i="3"/>
  <c r="AI210" i="3"/>
  <c r="AI211" i="3"/>
  <c r="AI192" i="3"/>
  <c r="AI193" i="3"/>
  <c r="AI147" i="3"/>
  <c r="AI148" i="3"/>
  <c r="AI255" i="3"/>
  <c r="AI256" i="3"/>
  <c r="AI201" i="3"/>
  <c r="AI202" i="3"/>
  <c r="AI265" i="3"/>
  <c r="AI266" i="3" s="1"/>
  <c r="AI264" i="3"/>
  <c r="P13" i="3"/>
  <c r="P3" i="3" s="1"/>
  <c r="W22" i="2" s="1"/>
  <c r="W14" i="6" s="1"/>
  <c r="Q7" i="3"/>
  <c r="AP18" i="4"/>
  <c r="AP29" i="6" s="1"/>
  <c r="AP16" i="4"/>
  <c r="AP27" i="6" s="1"/>
  <c r="BB7" i="2"/>
  <c r="AQ29" i="5"/>
  <c r="AP18" i="7"/>
  <c r="AO15" i="7"/>
  <c r="AP22" i="5"/>
  <c r="AP27" i="4" s="1"/>
  <c r="AP34" i="6" s="1"/>
  <c r="AQ25" i="5"/>
  <c r="AP16" i="7"/>
  <c r="AP28" i="4"/>
  <c r="AP35" i="6" s="1"/>
  <c r="AQ5" i="2"/>
  <c r="AJ299" i="3" s="1" a="1"/>
  <c r="AJ299" i="3" s="1"/>
  <c r="AP5" i="4"/>
  <c r="AP20" i="6" s="1"/>
  <c r="AP8" i="2"/>
  <c r="AS226" i="3" l="1"/>
  <c r="AT223" i="3" s="1"/>
  <c r="AT225" i="3" s="1" a="1"/>
  <c r="AT225" i="3" s="1"/>
  <c r="AK146" i="3"/>
  <c r="AL146" i="3" s="1"/>
  <c r="Y59" i="3"/>
  <c r="Y56" i="3"/>
  <c r="Y57" i="3" s="1"/>
  <c r="Y55" i="3"/>
  <c r="AJ137" i="3"/>
  <c r="AJ138" i="3" s="1"/>
  <c r="AK132" i="3"/>
  <c r="AK140" i="3" s="1"/>
  <c r="AK134" i="3"/>
  <c r="AK135" i="3" a="1"/>
  <c r="AK135" i="3" s="1"/>
  <c r="AF103" i="3"/>
  <c r="AZ281" i="3"/>
  <c r="BI361" i="3"/>
  <c r="BJ358" i="3" s="1"/>
  <c r="BJ360" i="3" s="1" a="1"/>
  <c r="BJ360" i="3" s="1"/>
  <c r="AX245" i="3"/>
  <c r="AT222" i="3"/>
  <c r="AT230" i="3" s="1"/>
  <c r="AR199" i="3"/>
  <c r="AS196" i="3" s="1"/>
  <c r="AS195" i="3" s="1"/>
  <c r="AS203" i="3" s="1"/>
  <c r="AZ263" i="3"/>
  <c r="T26" i="3"/>
  <c r="T28" i="3" s="1"/>
  <c r="U25" i="3" s="1"/>
  <c r="U26" i="3" s="1"/>
  <c r="T24" i="3"/>
  <c r="T29" i="3" s="1"/>
  <c r="T30" i="3" s="1"/>
  <c r="AP179" i="3"/>
  <c r="AP181" i="3" s="1"/>
  <c r="AQ178" i="3" s="1"/>
  <c r="AG101" i="3"/>
  <c r="AG102" i="3" s="1"/>
  <c r="AB70" i="3"/>
  <c r="AB72" i="3" s="1" a="1"/>
  <c r="AB72" i="3" s="1"/>
  <c r="AZ269" i="3"/>
  <c r="AP17" i="7"/>
  <c r="AQ28" i="5"/>
  <c r="AZ270" i="3" a="1"/>
  <c r="AZ270" i="3" s="1"/>
  <c r="AZ272" i="3"/>
  <c r="AQ191" i="3"/>
  <c r="AG100" i="3"/>
  <c r="AH97" i="3" s="1"/>
  <c r="AH99" i="3" s="1" a="1"/>
  <c r="AH99" i="3" s="1"/>
  <c r="AC85" i="3"/>
  <c r="AD82" i="3"/>
  <c r="AE79" i="3" s="1"/>
  <c r="AE78" i="3" s="1"/>
  <c r="AE86" i="3" s="1"/>
  <c r="AS218" i="3"/>
  <c r="AQ190" i="3"/>
  <c r="AR187" i="3" s="1"/>
  <c r="AR189" i="3" s="1" a="1"/>
  <c r="AR189" i="3" s="1"/>
  <c r="BK379" i="3"/>
  <c r="AP17" i="4"/>
  <c r="AP28" i="6" s="1"/>
  <c r="AP31" i="6" s="1"/>
  <c r="AP13" i="6"/>
  <c r="AP6" i="4"/>
  <c r="AP21" i="6" s="1"/>
  <c r="AQ19" i="2"/>
  <c r="AT6" i="2"/>
  <c r="AT13" i="2" s="1"/>
  <c r="AM173" i="3"/>
  <c r="BH332" i="3"/>
  <c r="BH334" i="3" s="1"/>
  <c r="BI331" i="3" s="1"/>
  <c r="BH330" i="3"/>
  <c r="BH338" i="3" s="1"/>
  <c r="AE91" i="3"/>
  <c r="AE95" i="3"/>
  <c r="AE92" i="3"/>
  <c r="AE93" i="3" s="1"/>
  <c r="AA66" i="3"/>
  <c r="AP177" i="3"/>
  <c r="AP185" i="3" s="1"/>
  <c r="AJ128" i="3"/>
  <c r="AJ129" i="3" s="1"/>
  <c r="AU209" i="3"/>
  <c r="AA67" i="3"/>
  <c r="AI291" i="3"/>
  <c r="AJ290" i="3"/>
  <c r="AK290" i="3" s="1"/>
  <c r="AL290" i="3" s="1"/>
  <c r="AM290" i="3" s="1"/>
  <c r="AN290" i="3" s="1"/>
  <c r="AO290" i="3" s="1"/>
  <c r="AP290" i="3" s="1"/>
  <c r="AQ290" i="3" s="1"/>
  <c r="AR290" i="3" s="1"/>
  <c r="AS290" i="3" s="1"/>
  <c r="AT290" i="3" s="1"/>
  <c r="AU290" i="3" s="1"/>
  <c r="AV290" i="3" s="1"/>
  <c r="AW290" i="3" s="1"/>
  <c r="AX290" i="3" s="1"/>
  <c r="AY290" i="3" s="1"/>
  <c r="AZ290" i="3" s="1"/>
  <c r="BA290" i="3" s="1"/>
  <c r="BB290" i="3" s="1"/>
  <c r="BC290" i="3" s="1"/>
  <c r="BD290" i="3" s="1"/>
  <c r="AC84" i="3"/>
  <c r="AY254" i="3"/>
  <c r="AD84" i="3"/>
  <c r="S22" i="3"/>
  <c r="T16" i="3"/>
  <c r="V50" i="3"/>
  <c r="V47" i="3"/>
  <c r="V48" i="3" s="1"/>
  <c r="U41" i="3"/>
  <c r="U38" i="3"/>
  <c r="BD296" i="3"/>
  <c r="BD297" i="3" a="1"/>
  <c r="BD297" i="3" s="1"/>
  <c r="BD294" i="3"/>
  <c r="BD302" i="3" s="1"/>
  <c r="AI282" i="3"/>
  <c r="BH343" i="3"/>
  <c r="BI340" i="3" s="1"/>
  <c r="AI283" i="3"/>
  <c r="AL144" i="3" a="1"/>
  <c r="AL144" i="3" s="1"/>
  <c r="AL143" i="3"/>
  <c r="AM162" i="3" a="1"/>
  <c r="AM162" i="3" s="1"/>
  <c r="AM161" i="3"/>
  <c r="AM159" i="3"/>
  <c r="AM167" i="3" s="1"/>
  <c r="W42" i="3"/>
  <c r="W50" i="3" s="1"/>
  <c r="AY243" i="3" a="1"/>
  <c r="AY243" i="3" s="1"/>
  <c r="AY244" i="3" s="1"/>
  <c r="AZ241" i="3" s="1"/>
  <c r="AY240" i="3"/>
  <c r="AY248" i="3" s="1"/>
  <c r="BJ352" i="3"/>
  <c r="BK349" i="3" s="1"/>
  <c r="U37" i="3"/>
  <c r="V34" i="3" s="1"/>
  <c r="AP152" i="3"/>
  <c r="AP154" i="3" s="1"/>
  <c r="AQ151" i="3" s="1"/>
  <c r="AP150" i="3"/>
  <c r="AP158" i="3" s="1"/>
  <c r="W45" i="3" a="1"/>
  <c r="W45" i="3" s="1"/>
  <c r="W46" i="3" s="1"/>
  <c r="AI292" i="3"/>
  <c r="BD316" i="3"/>
  <c r="BE313" i="3" s="1"/>
  <c r="BE314" i="3" s="1"/>
  <c r="AI115" i="3"/>
  <c r="AH121" i="3"/>
  <c r="AT215" i="3"/>
  <c r="AT216" i="3" a="1"/>
  <c r="AT216" i="3" s="1"/>
  <c r="AT213" i="3"/>
  <c r="AT221" i="3" s="1"/>
  <c r="AB60" i="3"/>
  <c r="AB65" i="3" s="1"/>
  <c r="AB62" i="3"/>
  <c r="AB63" i="3" a="1"/>
  <c r="AB63" i="3" s="1"/>
  <c r="AH120" i="3"/>
  <c r="AK125" i="3"/>
  <c r="AK123" i="3"/>
  <c r="AK131" i="3" s="1"/>
  <c r="AK126" i="3" a="1"/>
  <c r="AK126" i="3" s="1"/>
  <c r="BA261" i="3" a="1"/>
  <c r="BA261" i="3" s="1"/>
  <c r="BA260" i="3"/>
  <c r="BA258" i="3"/>
  <c r="BA266" i="3" s="1"/>
  <c r="AH111" i="3"/>
  <c r="BK369" i="3" a="1"/>
  <c r="BK369" i="3" s="1"/>
  <c r="BK366" i="3"/>
  <c r="BK374" i="3" s="1"/>
  <c r="BK368" i="3"/>
  <c r="AH112" i="3"/>
  <c r="AI106" i="3"/>
  <c r="BE285" i="3"/>
  <c r="BE293" i="3" s="1"/>
  <c r="BE287" i="3"/>
  <c r="BE288" i="3" a="1"/>
  <c r="BE288" i="3" s="1"/>
  <c r="AU234" i="3" a="1"/>
  <c r="AU234" i="3" s="1"/>
  <c r="AU231" i="3"/>
  <c r="AU239" i="3" s="1"/>
  <c r="AU233" i="3"/>
  <c r="AN170" i="3"/>
  <c r="AN168" i="3"/>
  <c r="AN176" i="3" s="1"/>
  <c r="AN171" i="3" a="1"/>
  <c r="AN171" i="3" s="1"/>
  <c r="AY253" i="3"/>
  <c r="AZ250" i="3" s="1"/>
  <c r="BA278" i="3"/>
  <c r="BA279" i="3" a="1"/>
  <c r="BA279" i="3" s="1"/>
  <c r="BA276" i="3"/>
  <c r="BA284" i="3" s="1"/>
  <c r="BD305" i="3"/>
  <c r="BD306" i="3" a="1"/>
  <c r="BD306" i="3" s="1"/>
  <c r="BD303" i="3"/>
  <c r="BD311" i="3" s="1"/>
  <c r="BG324" i="3" a="1"/>
  <c r="BG324" i="3" s="1"/>
  <c r="BG321" i="3"/>
  <c r="BG329" i="3" s="1"/>
  <c r="BG323" i="3"/>
  <c r="AU208" i="3"/>
  <c r="AV205" i="3" s="1"/>
  <c r="AJ165" i="3"/>
  <c r="AJ166" i="3"/>
  <c r="AJ156" i="3"/>
  <c r="AJ157" i="3"/>
  <c r="AJ211" i="3"/>
  <c r="AJ210" i="3"/>
  <c r="AJ183" i="3"/>
  <c r="AJ184" i="3"/>
  <c r="AJ282" i="3"/>
  <c r="AJ283" i="3"/>
  <c r="AJ192" i="3"/>
  <c r="AJ193" i="3"/>
  <c r="AJ264" i="3"/>
  <c r="AJ265" i="3"/>
  <c r="AJ201" i="3"/>
  <c r="AJ202" i="3"/>
  <c r="AJ255" i="3"/>
  <c r="AJ256" i="3"/>
  <c r="AJ274" i="3"/>
  <c r="AJ275" i="3" s="1"/>
  <c r="AJ273" i="3"/>
  <c r="AJ247" i="3"/>
  <c r="AJ248" i="3" s="1"/>
  <c r="AJ246" i="3"/>
  <c r="AJ228" i="3"/>
  <c r="AJ229" i="3"/>
  <c r="AJ237" i="3"/>
  <c r="AJ238" i="3"/>
  <c r="AJ147" i="3"/>
  <c r="AJ148" i="3"/>
  <c r="AJ175" i="3"/>
  <c r="AJ174" i="3"/>
  <c r="Q6" i="3"/>
  <c r="Q11" i="3" s="1"/>
  <c r="Q9" i="3" a="1"/>
  <c r="Q9" i="3" s="1"/>
  <c r="Q8" i="3"/>
  <c r="AQ18" i="4"/>
  <c r="AQ29" i="6" s="1"/>
  <c r="AQ16" i="4"/>
  <c r="AQ27" i="6" s="1"/>
  <c r="BC7" i="2"/>
  <c r="AR25" i="5"/>
  <c r="AQ16" i="7"/>
  <c r="AQ28" i="4"/>
  <c r="AQ35" i="6" s="1"/>
  <c r="AP15" i="7"/>
  <c r="AQ22" i="5"/>
  <c r="AQ27" i="4" s="1"/>
  <c r="AQ34" i="6" s="1"/>
  <c r="AR29" i="5"/>
  <c r="AQ18" i="7"/>
  <c r="AR5" i="2"/>
  <c r="G45" i="10"/>
  <c r="G47" i="10"/>
  <c r="AQ5" i="4"/>
  <c r="AQ20" i="6" s="1"/>
  <c r="AQ8" i="2"/>
  <c r="AT224" i="3" l="1"/>
  <c r="AT226" i="3" s="1"/>
  <c r="AU223" i="3" s="1"/>
  <c r="AU224" i="3" s="1"/>
  <c r="AJ139" i="3"/>
  <c r="AK136" i="3"/>
  <c r="AL133" i="3" s="1"/>
  <c r="AL135" i="3" s="1" a="1"/>
  <c r="AL135" i="3" s="1"/>
  <c r="Y58" i="3"/>
  <c r="Z52" i="3"/>
  <c r="AK137" i="3"/>
  <c r="AK138" i="3" s="1"/>
  <c r="AS197" i="3"/>
  <c r="AS198" i="3" a="1"/>
  <c r="AS198" i="3" s="1"/>
  <c r="BJ359" i="3"/>
  <c r="BJ361" i="3" s="1"/>
  <c r="BK358" i="3" s="1"/>
  <c r="BJ357" i="3"/>
  <c r="BJ365" i="3" s="1"/>
  <c r="AT227" i="3"/>
  <c r="T32" i="3"/>
  <c r="AE80" i="3"/>
  <c r="AB71" i="3"/>
  <c r="AB73" i="3" s="1"/>
  <c r="AD85" i="3"/>
  <c r="AE83" i="3"/>
  <c r="AE81" i="3" a="1"/>
  <c r="AE81" i="3" s="1"/>
  <c r="AB69" i="3"/>
  <c r="AB74" i="3" s="1"/>
  <c r="AG103" i="3"/>
  <c r="AH96" i="3"/>
  <c r="AH101" i="3" s="1"/>
  <c r="AH98" i="3"/>
  <c r="AH100" i="3" s="1"/>
  <c r="AI97" i="3" s="1"/>
  <c r="AI96" i="3" s="1"/>
  <c r="AI104" i="3" s="1"/>
  <c r="AQ17" i="7"/>
  <c r="AR28" i="5"/>
  <c r="AZ271" i="3"/>
  <c r="BA268" i="3" s="1"/>
  <c r="AJ130" i="3"/>
  <c r="AR186" i="3"/>
  <c r="AR194" i="3" s="1"/>
  <c r="AR188" i="3"/>
  <c r="AR190" i="3" s="1"/>
  <c r="AS187" i="3" s="1"/>
  <c r="AR19" i="2"/>
  <c r="AU6" i="2"/>
  <c r="AU13" i="2" s="1"/>
  <c r="AQ17" i="4"/>
  <c r="AQ28" i="6" s="1"/>
  <c r="AQ31" i="6" s="1"/>
  <c r="AQ13" i="6"/>
  <c r="AQ6" i="4"/>
  <c r="AQ21" i="6" s="1"/>
  <c r="AP182" i="3"/>
  <c r="AM163" i="3"/>
  <c r="AN160" i="3" s="1"/>
  <c r="AN159" i="3" s="1"/>
  <c r="AN167" i="3" s="1"/>
  <c r="BE290" i="3"/>
  <c r="BE315" i="3" a="1"/>
  <c r="BE315" i="3" s="1"/>
  <c r="BE316" i="3" s="1"/>
  <c r="BF313" i="3" s="1"/>
  <c r="AF88" i="3"/>
  <c r="AE94" i="3"/>
  <c r="BD298" i="3"/>
  <c r="BE295" i="3" s="1"/>
  <c r="BE294" i="3" s="1"/>
  <c r="BE302" i="3" s="1"/>
  <c r="AL145" i="3"/>
  <c r="AM142" i="3" s="1"/>
  <c r="AM141" i="3" s="1"/>
  <c r="AM149" i="3" s="1"/>
  <c r="BA263" i="3"/>
  <c r="AU236" i="3"/>
  <c r="BA281" i="3"/>
  <c r="AT218" i="3"/>
  <c r="AJ301" i="3"/>
  <c r="AK299" i="3"/>
  <c r="AL299" i="3" s="1"/>
  <c r="AM299" i="3" s="1"/>
  <c r="AN299" i="3" s="1"/>
  <c r="AO299" i="3" s="1"/>
  <c r="AP299" i="3" s="1"/>
  <c r="AQ299" i="3" s="1"/>
  <c r="AR299" i="3" s="1"/>
  <c r="AS299" i="3" s="1"/>
  <c r="AT299" i="3" s="1"/>
  <c r="AU299" i="3" s="1"/>
  <c r="AV299" i="3" s="1"/>
  <c r="AW299" i="3" s="1"/>
  <c r="AX299" i="3" s="1"/>
  <c r="AY299" i="3" s="1"/>
  <c r="AZ299" i="3" s="1"/>
  <c r="BA299" i="3" s="1"/>
  <c r="BB299" i="3" s="1"/>
  <c r="BC299" i="3" s="1"/>
  <c r="BD299" i="3" s="1"/>
  <c r="BE312" i="3"/>
  <c r="BE320" i="3" s="1"/>
  <c r="AK128" i="3"/>
  <c r="AK129" i="3" s="1"/>
  <c r="AY245" i="3"/>
  <c r="AM164" i="3"/>
  <c r="AJ291" i="3"/>
  <c r="AN173" i="3"/>
  <c r="AS200" i="3"/>
  <c r="AP155" i="3"/>
  <c r="T18" i="3" a="1"/>
  <c r="T18" i="3" s="1"/>
  <c r="T17" i="3"/>
  <c r="T15" i="3"/>
  <c r="W47" i="3"/>
  <c r="W48" i="3" s="1"/>
  <c r="AQ180" i="3" a="1"/>
  <c r="AQ180" i="3" s="1"/>
  <c r="AQ179" i="3"/>
  <c r="AQ177" i="3"/>
  <c r="AQ185" i="3" s="1"/>
  <c r="BI342" i="3" a="1"/>
  <c r="BI342" i="3" s="1"/>
  <c r="BI341" i="3"/>
  <c r="BI339" i="3"/>
  <c r="BI347" i="3" s="1"/>
  <c r="BA262" i="3"/>
  <c r="BB259" i="3" s="1"/>
  <c r="BB258" i="3" s="1"/>
  <c r="BB266" i="3" s="1"/>
  <c r="V49" i="3"/>
  <c r="AK291" i="3"/>
  <c r="AJ292" i="3"/>
  <c r="AJ300" i="3"/>
  <c r="U24" i="3"/>
  <c r="BK350" i="3"/>
  <c r="BK351" i="3" a="1"/>
  <c r="BK351" i="3" s="1"/>
  <c r="BK348" i="3"/>
  <c r="BK356" i="3" s="1"/>
  <c r="BK370" i="3"/>
  <c r="U27" i="3" a="1"/>
  <c r="U27" i="3" s="1"/>
  <c r="U28" i="3" s="1"/>
  <c r="V25" i="3" s="1"/>
  <c r="T31" i="3"/>
  <c r="AU235" i="3"/>
  <c r="AV232" i="3" s="1"/>
  <c r="AV234" i="3" s="1" a="1"/>
  <c r="AV234" i="3" s="1"/>
  <c r="U40" i="3"/>
  <c r="V36" i="3" a="1"/>
  <c r="V36" i="3" s="1"/>
  <c r="V33" i="3"/>
  <c r="V41" i="3" s="1"/>
  <c r="V35" i="3"/>
  <c r="U39" i="3"/>
  <c r="AB64" i="3"/>
  <c r="AV204" i="3"/>
  <c r="AV212" i="3" s="1"/>
  <c r="AV207" i="3" a="1"/>
  <c r="AV207" i="3" s="1"/>
  <c r="AV206" i="3"/>
  <c r="AB68" i="3"/>
  <c r="AB66" i="3"/>
  <c r="BA280" i="3"/>
  <c r="BB277" i="3" s="1"/>
  <c r="AN172" i="3"/>
  <c r="AO169" i="3" s="1"/>
  <c r="BG325" i="3"/>
  <c r="BH322" i="3" s="1"/>
  <c r="AI116" i="3"/>
  <c r="AI117" i="3" a="1"/>
  <c r="AI117" i="3" s="1"/>
  <c r="AI114" i="3"/>
  <c r="AI119" i="3" s="1"/>
  <c r="X43" i="3"/>
  <c r="AK127" i="3"/>
  <c r="AL124" i="3" s="1"/>
  <c r="BI333" i="3" a="1"/>
  <c r="BI333" i="3" s="1"/>
  <c r="BI332" i="3"/>
  <c r="BI330" i="3"/>
  <c r="BI338" i="3" s="1"/>
  <c r="BE289" i="3"/>
  <c r="BF286" i="3" s="1"/>
  <c r="AQ153" i="3" a="1"/>
  <c r="AQ153" i="3" s="1"/>
  <c r="AQ150" i="3"/>
  <c r="AQ158" i="3" s="1"/>
  <c r="AQ152" i="3"/>
  <c r="AT217" i="3"/>
  <c r="AU214" i="3" s="1"/>
  <c r="AZ242" i="3"/>
  <c r="AZ243" i="3" a="1"/>
  <c r="AZ243" i="3" s="1"/>
  <c r="AZ240" i="3"/>
  <c r="AZ248" i="3" s="1"/>
  <c r="BD307" i="3"/>
  <c r="BE304" i="3" s="1"/>
  <c r="AZ249" i="3"/>
  <c r="AZ257" i="3" s="1"/>
  <c r="AZ252" i="3" a="1"/>
  <c r="AZ252" i="3" s="1"/>
  <c r="AZ251" i="3"/>
  <c r="AI108" i="3" a="1"/>
  <c r="AI108" i="3" s="1"/>
  <c r="AI105" i="3"/>
  <c r="AI110" i="3" s="1"/>
  <c r="AI107" i="3"/>
  <c r="AK308" i="3" a="1"/>
  <c r="AK308" i="3" s="1"/>
  <c r="AK237" i="3"/>
  <c r="AK238" i="3"/>
  <c r="AK246" i="3"/>
  <c r="AK247" i="3"/>
  <c r="AK255" i="3"/>
  <c r="AK256" i="3"/>
  <c r="AK257" i="3" s="1"/>
  <c r="AK174" i="3"/>
  <c r="AK175" i="3"/>
  <c r="AK273" i="3"/>
  <c r="AK274" i="3"/>
  <c r="AK148" i="3"/>
  <c r="AK147" i="3"/>
  <c r="AK201" i="3"/>
  <c r="AK202" i="3"/>
  <c r="AK193" i="3"/>
  <c r="AK192" i="3"/>
  <c r="AK183" i="3"/>
  <c r="AK184" i="3"/>
  <c r="AK229" i="3"/>
  <c r="AK228" i="3"/>
  <c r="AK264" i="3"/>
  <c r="AK265" i="3"/>
  <c r="AK219" i="3"/>
  <c r="AK220" i="3"/>
  <c r="AK210" i="3"/>
  <c r="AK211" i="3"/>
  <c r="AK157" i="3"/>
  <c r="AK156" i="3"/>
  <c r="AK282" i="3"/>
  <c r="AK283" i="3"/>
  <c r="AK284" i="3" s="1"/>
  <c r="AK165" i="3"/>
  <c r="AK166" i="3"/>
  <c r="Q10" i="3"/>
  <c r="Q14" i="3"/>
  <c r="Q4" i="3" s="1"/>
  <c r="Q5" i="3"/>
  <c r="AR18" i="4"/>
  <c r="AR29" i="6" s="1"/>
  <c r="AR16" i="4"/>
  <c r="AR27" i="6" s="1"/>
  <c r="BD7" i="2"/>
  <c r="G13" i="2"/>
  <c r="AQ15" i="7"/>
  <c r="AR22" i="5"/>
  <c r="AR27" i="4" s="1"/>
  <c r="AR34" i="6" s="1"/>
  <c r="AS29" i="5"/>
  <c r="AR18" i="7"/>
  <c r="AS25" i="5"/>
  <c r="AR16" i="7"/>
  <c r="AR28" i="4"/>
  <c r="AR35" i="6" s="1"/>
  <c r="AS5" i="2"/>
  <c r="G48" i="10"/>
  <c r="AR5" i="4"/>
  <c r="AR20" i="6" s="1"/>
  <c r="G6" i="2"/>
  <c r="AR8" i="2"/>
  <c r="AT8" i="1" l="1"/>
  <c r="J7" i="8"/>
  <c r="L7" i="8" s="1"/>
  <c r="AL132" i="3"/>
  <c r="AL140" i="3" s="1"/>
  <c r="AK139" i="3"/>
  <c r="AL134" i="3"/>
  <c r="AU222" i="3"/>
  <c r="AU230" i="3" s="1"/>
  <c r="AU225" i="3" a="1"/>
  <c r="AU225" i="3" s="1"/>
  <c r="AU226" i="3" s="1"/>
  <c r="AV223" i="3" s="1"/>
  <c r="AV224" i="3" s="1"/>
  <c r="AL136" i="3"/>
  <c r="AM133" i="3" s="1"/>
  <c r="AM132" i="3" s="1"/>
  <c r="AM140" i="3" s="1"/>
  <c r="Z53" i="3"/>
  <c r="Z54" i="3" a="1"/>
  <c r="Z54" i="3" s="1"/>
  <c r="Z51" i="3"/>
  <c r="BK357" i="3"/>
  <c r="BK365" i="3" s="1"/>
  <c r="AS199" i="3"/>
  <c r="AT196" i="3" s="1"/>
  <c r="AT198" i="3" s="1" a="1"/>
  <c r="AT198" i="3" s="1"/>
  <c r="BK360" i="3" a="1"/>
  <c r="BK360" i="3" s="1"/>
  <c r="BK359" i="3"/>
  <c r="AE82" i="3"/>
  <c r="AE85" i="3" s="1"/>
  <c r="AE84" i="3"/>
  <c r="AB77" i="3"/>
  <c r="AH104" i="3"/>
  <c r="AI99" i="3" a="1"/>
  <c r="AI99" i="3" s="1"/>
  <c r="AN161" i="3"/>
  <c r="BB261" i="3" a="1"/>
  <c r="BB261" i="3" s="1"/>
  <c r="BB260" i="3"/>
  <c r="BA269" i="3"/>
  <c r="BA267" i="3"/>
  <c r="BA270" i="3" a="1"/>
  <c r="BA270" i="3" s="1"/>
  <c r="AR17" i="7"/>
  <c r="AS28" i="5"/>
  <c r="AN162" i="3" a="1"/>
  <c r="AN162" i="3" s="1"/>
  <c r="AI98" i="3"/>
  <c r="AR191" i="3"/>
  <c r="AH102" i="3"/>
  <c r="AI101" i="3"/>
  <c r="AH103" i="3"/>
  <c r="AS19" i="2"/>
  <c r="AV6" i="2"/>
  <c r="AV13" i="2" s="1"/>
  <c r="AS188" i="3"/>
  <c r="AS189" i="3" a="1"/>
  <c r="AS189" i="3" s="1"/>
  <c r="AS186" i="3"/>
  <c r="AS194" i="3" s="1"/>
  <c r="AR13" i="6"/>
  <c r="AR17" i="4"/>
  <c r="AR28" i="6" s="1"/>
  <c r="AR31" i="6" s="1"/>
  <c r="AR6" i="4"/>
  <c r="AK130" i="3"/>
  <c r="BE299" i="3"/>
  <c r="AQ181" i="3"/>
  <c r="AR178" i="3" s="1"/>
  <c r="AR179" i="3" s="1"/>
  <c r="AM144" i="3" a="1"/>
  <c r="AM144" i="3" s="1"/>
  <c r="AQ182" i="3"/>
  <c r="BE297" i="3" a="1"/>
  <c r="BE297" i="3" s="1"/>
  <c r="BE296" i="3"/>
  <c r="AM143" i="3"/>
  <c r="AF89" i="3"/>
  <c r="AF87" i="3"/>
  <c r="AF90" i="3" a="1"/>
  <c r="AF90" i="3" s="1"/>
  <c r="AK309" i="3"/>
  <c r="AL308" i="3"/>
  <c r="AM308" i="3" s="1"/>
  <c r="AN308" i="3" s="1"/>
  <c r="AO308" i="3" s="1"/>
  <c r="AP308" i="3" s="1"/>
  <c r="AQ308" i="3" s="1"/>
  <c r="AR308" i="3" s="1"/>
  <c r="AS308" i="3" s="1"/>
  <c r="AT308" i="3" s="1"/>
  <c r="AU308" i="3" s="1"/>
  <c r="AV308" i="3" s="1"/>
  <c r="AW308" i="3" s="1"/>
  <c r="AX308" i="3" s="1"/>
  <c r="AY308" i="3" s="1"/>
  <c r="AZ308" i="3" s="1"/>
  <c r="BA308" i="3" s="1"/>
  <c r="BB308" i="3" s="1"/>
  <c r="BC308" i="3" s="1"/>
  <c r="BD308" i="3" s="1"/>
  <c r="BI343" i="3"/>
  <c r="BJ340" i="3" s="1"/>
  <c r="BJ342" i="3" s="1" a="1"/>
  <c r="BJ342" i="3" s="1"/>
  <c r="AZ245" i="3"/>
  <c r="AZ254" i="3"/>
  <c r="AK300" i="3"/>
  <c r="T19" i="3"/>
  <c r="U16" i="3" s="1"/>
  <c r="U15" i="3" s="1"/>
  <c r="AV209" i="3"/>
  <c r="BB263" i="3"/>
  <c r="AN164" i="3"/>
  <c r="AQ155" i="3"/>
  <c r="AM146" i="3"/>
  <c r="T20" i="3"/>
  <c r="T21" i="3" s="1"/>
  <c r="T23" i="3"/>
  <c r="U32" i="3"/>
  <c r="U29" i="3"/>
  <c r="U30" i="3" s="1"/>
  <c r="V38" i="3"/>
  <c r="AL291" i="3"/>
  <c r="AK292" i="3"/>
  <c r="V37" i="3"/>
  <c r="W34" i="3" s="1"/>
  <c r="AI118" i="3"/>
  <c r="AJ115" i="3" s="1"/>
  <c r="AJ114" i="3" s="1"/>
  <c r="AJ122" i="3" s="1"/>
  <c r="BK352" i="3"/>
  <c r="W49" i="3"/>
  <c r="AV231" i="3"/>
  <c r="AV239" i="3" s="1"/>
  <c r="AZ253" i="3"/>
  <c r="BA250" i="3" s="1"/>
  <c r="BA249" i="3" s="1"/>
  <c r="BA257" i="3" s="1"/>
  <c r="AV233" i="3"/>
  <c r="AV235" i="3" s="1"/>
  <c r="AW232" i="3" s="1"/>
  <c r="AK301" i="3"/>
  <c r="BI334" i="3"/>
  <c r="BJ331" i="3" s="1"/>
  <c r="BJ332" i="3" s="1"/>
  <c r="AQ154" i="3"/>
  <c r="AR151" i="3" s="1"/>
  <c r="AR153" i="3" s="1" a="1"/>
  <c r="AR153" i="3" s="1"/>
  <c r="AZ244" i="3"/>
  <c r="BA241" i="3" s="1"/>
  <c r="BA240" i="3" s="1"/>
  <c r="BA248" i="3" s="1"/>
  <c r="AI109" i="3"/>
  <c r="AJ106" i="3" s="1"/>
  <c r="AJ105" i="3" s="1"/>
  <c r="AJ113" i="3" s="1"/>
  <c r="V24" i="3"/>
  <c r="V32" i="3" s="1"/>
  <c r="V27" i="3" a="1"/>
  <c r="V27" i="3" s="1"/>
  <c r="V26" i="3"/>
  <c r="AI122" i="3"/>
  <c r="AO168" i="3"/>
  <c r="AO176" i="3" s="1"/>
  <c r="AO171" i="3" a="1"/>
  <c r="AO171" i="3" s="1"/>
  <c r="AO170" i="3"/>
  <c r="AB75" i="3"/>
  <c r="BF288" i="3" a="1"/>
  <c r="BF288" i="3" s="1"/>
  <c r="BF285" i="3"/>
  <c r="BF287" i="3"/>
  <c r="BB278" i="3"/>
  <c r="BB276" i="3"/>
  <c r="BB284" i="3" s="1"/>
  <c r="BB279" i="3" a="1"/>
  <c r="BB279" i="3" s="1"/>
  <c r="AV208" i="3"/>
  <c r="AW205" i="3" s="1"/>
  <c r="BF315" i="3" a="1"/>
  <c r="BF315" i="3" s="1"/>
  <c r="BF314" i="3"/>
  <c r="BF312" i="3"/>
  <c r="BF320" i="3" s="1"/>
  <c r="AK310" i="3"/>
  <c r="BE305" i="3"/>
  <c r="BE306" i="3" a="1"/>
  <c r="BE306" i="3" s="1"/>
  <c r="BE303" i="3"/>
  <c r="BE311" i="3" s="1"/>
  <c r="AC70" i="3"/>
  <c r="AB76" i="3"/>
  <c r="AI113" i="3"/>
  <c r="X42" i="3"/>
  <c r="X47" i="3" s="1"/>
  <c r="X44" i="3"/>
  <c r="X45" i="3" a="1"/>
  <c r="X45" i="3" s="1"/>
  <c r="AU213" i="3"/>
  <c r="AU221" i="3" s="1"/>
  <c r="AU215" i="3"/>
  <c r="AU216" i="3" a="1"/>
  <c r="AU216" i="3" s="1"/>
  <c r="AL125" i="3"/>
  <c r="AL123" i="3"/>
  <c r="AL128" i="3" s="1"/>
  <c r="AL126" i="3" a="1"/>
  <c r="AL126" i="3" s="1"/>
  <c r="BH321" i="3"/>
  <c r="BH329" i="3" s="1"/>
  <c r="BH324" i="3" a="1"/>
  <c r="BH324" i="3" s="1"/>
  <c r="BH323" i="3"/>
  <c r="AB67" i="3"/>
  <c r="AC61" i="3"/>
  <c r="AL317" i="3" a="1"/>
  <c r="AL317" i="3" s="1"/>
  <c r="AL156" i="3"/>
  <c r="AL157" i="3"/>
  <c r="AL220" i="3"/>
  <c r="AL219" i="3"/>
  <c r="AL228" i="3"/>
  <c r="AL229" i="3"/>
  <c r="AL201" i="3"/>
  <c r="AL202" i="3"/>
  <c r="AL255" i="3"/>
  <c r="AL256" i="3"/>
  <c r="AL192" i="3"/>
  <c r="AL193" i="3"/>
  <c r="AL246" i="3"/>
  <c r="AL247" i="3"/>
  <c r="AL282" i="3"/>
  <c r="AL283" i="3"/>
  <c r="AL300" i="3"/>
  <c r="AL301" i="3"/>
  <c r="AL175" i="3"/>
  <c r="AL174" i="3"/>
  <c r="AL273" i="3"/>
  <c r="AL274" i="3"/>
  <c r="AL210" i="3"/>
  <c r="AL211" i="3"/>
  <c r="AL148" i="3"/>
  <c r="AL147" i="3"/>
  <c r="AL166" i="3"/>
  <c r="AL165" i="3"/>
  <c r="AL237" i="3"/>
  <c r="AL238" i="3"/>
  <c r="AL264" i="3"/>
  <c r="AL265" i="3"/>
  <c r="AL266" i="3" s="1"/>
  <c r="AL183" i="3"/>
  <c r="AL184" i="3"/>
  <c r="Q13" i="3"/>
  <c r="Q3" i="3" s="1"/>
  <c r="X22" i="2" s="1"/>
  <c r="X14" i="6" s="1"/>
  <c r="R7" i="3"/>
  <c r="Q12" i="3"/>
  <c r="Q2" i="3" s="1"/>
  <c r="AS18" i="4"/>
  <c r="AS29" i="6" s="1"/>
  <c r="AS16" i="4"/>
  <c r="AS27" i="6" s="1"/>
  <c r="BE7" i="2"/>
  <c r="AT25" i="5"/>
  <c r="G25" i="5" s="1"/>
  <c r="AS16" i="7"/>
  <c r="AS28" i="4"/>
  <c r="AS35" i="6" s="1"/>
  <c r="AT29" i="5"/>
  <c r="G29" i="5" s="1"/>
  <c r="AS18" i="7"/>
  <c r="AR15" i="7"/>
  <c r="AS22" i="5"/>
  <c r="AS27" i="4" s="1"/>
  <c r="AS34" i="6" s="1"/>
  <c r="AT5" i="2"/>
  <c r="AS5" i="4"/>
  <c r="AS20" i="6" s="1"/>
  <c r="AS8" i="2"/>
  <c r="AU227" i="3" l="1"/>
  <c r="AL137" i="3"/>
  <c r="AL138" i="3" s="1"/>
  <c r="K7" i="8"/>
  <c r="AM134" i="3"/>
  <c r="AV222" i="3"/>
  <c r="AV230" i="3" s="1"/>
  <c r="AM135" i="3" a="1"/>
  <c r="AM135" i="3" s="1"/>
  <c r="AV225" i="3" a="1"/>
  <c r="AV225" i="3" s="1"/>
  <c r="AV226" i="3" s="1"/>
  <c r="AW223" i="3" s="1"/>
  <c r="AW225" i="3" s="1" a="1"/>
  <c r="AW225" i="3" s="1"/>
  <c r="AF79" i="3"/>
  <c r="AF78" i="3" s="1"/>
  <c r="AF83" i="3" s="1"/>
  <c r="AT195" i="3"/>
  <c r="AT203" i="3" s="1"/>
  <c r="AT197" i="3"/>
  <c r="AT199" i="3" s="1"/>
  <c r="AU196" i="3" s="1"/>
  <c r="Z56" i="3"/>
  <c r="Z57" i="3" s="1"/>
  <c r="Z59" i="3"/>
  <c r="Z55" i="3"/>
  <c r="AL139" i="3"/>
  <c r="BK361" i="3"/>
  <c r="BJ341" i="3"/>
  <c r="BJ343" i="3" s="1"/>
  <c r="BK340" i="3" s="1"/>
  <c r="AN163" i="3"/>
  <c r="AO160" i="3" s="1"/>
  <c r="AO159" i="3" s="1"/>
  <c r="AO167" i="3" s="1"/>
  <c r="AI100" i="3"/>
  <c r="AJ97" i="3" s="1"/>
  <c r="BB262" i="3"/>
  <c r="BC259" i="3" s="1"/>
  <c r="BC260" i="3" s="1"/>
  <c r="BJ339" i="3"/>
  <c r="BJ347" i="3" s="1"/>
  <c r="BA271" i="3"/>
  <c r="BB268" i="3" s="1"/>
  <c r="BB269" i="3" s="1"/>
  <c r="AI102" i="3"/>
  <c r="AR177" i="3"/>
  <c r="AR185" i="3" s="1"/>
  <c r="AR180" i="3" a="1"/>
  <c r="AR180" i="3" s="1"/>
  <c r="AR181" i="3" s="1"/>
  <c r="AS178" i="3" s="1"/>
  <c r="AS177" i="3" s="1"/>
  <c r="AS17" i="7"/>
  <c r="AT28" i="5"/>
  <c r="G28" i="5" s="1"/>
  <c r="BE308" i="3"/>
  <c r="BA275" i="3"/>
  <c r="BA272" i="3"/>
  <c r="AS190" i="3"/>
  <c r="AT187" i="3" s="1"/>
  <c r="AS191" i="3"/>
  <c r="AT19" i="2"/>
  <c r="AW6" i="2"/>
  <c r="AW13" i="2" s="1"/>
  <c r="AS13" i="6"/>
  <c r="AS17" i="4"/>
  <c r="AS28" i="6" s="1"/>
  <c r="AS31" i="6" s="1"/>
  <c r="AS6" i="4"/>
  <c r="AS21" i="6" s="1"/>
  <c r="AM145" i="3"/>
  <c r="AN142" i="3" s="1"/>
  <c r="AN143" i="3" s="1"/>
  <c r="AV236" i="3"/>
  <c r="U17" i="3"/>
  <c r="AF92" i="3"/>
  <c r="AF95" i="3"/>
  <c r="AF91" i="3"/>
  <c r="BE298" i="3"/>
  <c r="BF295" i="3" s="1"/>
  <c r="BF293" i="3"/>
  <c r="BF290" i="3"/>
  <c r="AO173" i="3"/>
  <c r="AL309" i="3"/>
  <c r="T22" i="3"/>
  <c r="BA243" i="3" a="1"/>
  <c r="BA243" i="3" s="1"/>
  <c r="BB281" i="3"/>
  <c r="BA254" i="3"/>
  <c r="AU218" i="3"/>
  <c r="U18" i="3" a="1"/>
  <c r="U18" i="3" s="1"/>
  <c r="BA245" i="3"/>
  <c r="AL318" i="3"/>
  <c r="AM317" i="3"/>
  <c r="AN317" i="3" s="1"/>
  <c r="AO317" i="3" s="1"/>
  <c r="AP317" i="3" s="1"/>
  <c r="AQ317" i="3" s="1"/>
  <c r="AR317" i="3" s="1"/>
  <c r="AS317" i="3" s="1"/>
  <c r="AT317" i="3" s="1"/>
  <c r="AU317" i="3" s="1"/>
  <c r="AV317" i="3" s="1"/>
  <c r="AW317" i="3" s="1"/>
  <c r="AX317" i="3" s="1"/>
  <c r="AY317" i="3" s="1"/>
  <c r="AZ317" i="3" s="1"/>
  <c r="BA317" i="3" s="1"/>
  <c r="BB317" i="3" s="1"/>
  <c r="BC317" i="3" s="1"/>
  <c r="BD317" i="3" s="1"/>
  <c r="BE317" i="3" s="1"/>
  <c r="BF317" i="3" s="1"/>
  <c r="AJ119" i="3"/>
  <c r="AJ110" i="3"/>
  <c r="U20" i="3"/>
  <c r="U23" i="3"/>
  <c r="V29" i="3"/>
  <c r="V30" i="3" s="1"/>
  <c r="U31" i="3"/>
  <c r="V39" i="3"/>
  <c r="AL292" i="3"/>
  <c r="AL293" i="3" s="1"/>
  <c r="V40" i="3"/>
  <c r="AJ117" i="3" a="1"/>
  <c r="AJ117" i="3" s="1"/>
  <c r="AJ116" i="3"/>
  <c r="AI121" i="3"/>
  <c r="AJ107" i="3"/>
  <c r="AJ108" i="3" a="1"/>
  <c r="AJ108" i="3" s="1"/>
  <c r="BF316" i="3"/>
  <c r="BG313" i="3" s="1"/>
  <c r="BG315" i="3" s="1" a="1"/>
  <c r="BG315" i="3" s="1"/>
  <c r="BJ330" i="3"/>
  <c r="BJ338" i="3" s="1"/>
  <c r="BA242" i="3"/>
  <c r="BJ333" i="3" a="1"/>
  <c r="BJ333" i="3" s="1"/>
  <c r="BJ334" i="3" s="1"/>
  <c r="BK331" i="3" s="1"/>
  <c r="AW233" i="3"/>
  <c r="AW231" i="3"/>
  <c r="AW239" i="3" s="1"/>
  <c r="AW234" i="3" a="1"/>
  <c r="AW234" i="3" s="1"/>
  <c r="BA252" i="3" a="1"/>
  <c r="BA252" i="3" s="1"/>
  <c r="AR150" i="3"/>
  <c r="AR158" i="3" s="1"/>
  <c r="BA251" i="3"/>
  <c r="AR152" i="3"/>
  <c r="AR154" i="3" s="1"/>
  <c r="AS151" i="3" s="1"/>
  <c r="AS153" i="3" s="1" a="1"/>
  <c r="AS153" i="3" s="1"/>
  <c r="W36" i="3" a="1"/>
  <c r="W36" i="3" s="1"/>
  <c r="W35" i="3"/>
  <c r="W33" i="3"/>
  <c r="W38" i="3" s="1"/>
  <c r="AI111" i="3"/>
  <c r="AI112" i="3"/>
  <c r="AL319" i="3"/>
  <c r="V28" i="3"/>
  <c r="W25" i="3" s="1"/>
  <c r="W24" i="3" s="1"/>
  <c r="W32" i="3" s="1"/>
  <c r="BH325" i="3"/>
  <c r="BI322" i="3" s="1"/>
  <c r="AU217" i="3"/>
  <c r="AV214" i="3" s="1"/>
  <c r="BE307" i="3"/>
  <c r="BF304" i="3" s="1"/>
  <c r="AC72" i="3" a="1"/>
  <c r="AC72" i="3" s="1"/>
  <c r="AC69" i="3"/>
  <c r="AC74" i="3" s="1"/>
  <c r="AC71" i="3"/>
  <c r="X46" i="3"/>
  <c r="AL310" i="3"/>
  <c r="AC60" i="3"/>
  <c r="AC65" i="3" s="1"/>
  <c r="AC62" i="3"/>
  <c r="AC63" i="3" a="1"/>
  <c r="AC63" i="3" s="1"/>
  <c r="AL131" i="3"/>
  <c r="AI120" i="3"/>
  <c r="AL127" i="3"/>
  <c r="AO172" i="3"/>
  <c r="AP169" i="3" s="1"/>
  <c r="X50" i="3"/>
  <c r="X48" i="3"/>
  <c r="BB280" i="3"/>
  <c r="BC277" i="3" s="1"/>
  <c r="AW204" i="3"/>
  <c r="AW212" i="3" s="1"/>
  <c r="AW207" i="3" a="1"/>
  <c r="AW207" i="3" s="1"/>
  <c r="AW206" i="3"/>
  <c r="BF289" i="3"/>
  <c r="BG286" i="3" s="1"/>
  <c r="AM326" i="3" a="1"/>
  <c r="AM326" i="3" s="1"/>
  <c r="AN326" i="3" s="1"/>
  <c r="AO326" i="3" s="1"/>
  <c r="AP326" i="3" s="1"/>
  <c r="AQ326" i="3" s="1"/>
  <c r="AR326" i="3" s="1"/>
  <c r="AS326" i="3" s="1"/>
  <c r="AT326" i="3" s="1"/>
  <c r="AU326" i="3" s="1"/>
  <c r="AV326" i="3" s="1"/>
  <c r="AW326" i="3" s="1"/>
  <c r="AX326" i="3" s="1"/>
  <c r="AY326" i="3" s="1"/>
  <c r="AZ326" i="3" s="1"/>
  <c r="BA326" i="3" s="1"/>
  <c r="BB326" i="3" s="1"/>
  <c r="BC326" i="3" s="1"/>
  <c r="BD326" i="3" s="1"/>
  <c r="BE326" i="3" s="1"/>
  <c r="BF326" i="3" s="1"/>
  <c r="BG326" i="3" s="1"/>
  <c r="BH326" i="3" s="1"/>
  <c r="AM309" i="3"/>
  <c r="AM310" i="3"/>
  <c r="AM255" i="3"/>
  <c r="AM256" i="3"/>
  <c r="AM228" i="3"/>
  <c r="AM229" i="3"/>
  <c r="AM147" i="3"/>
  <c r="AM246" i="3"/>
  <c r="AM247" i="3"/>
  <c r="AM211" i="3"/>
  <c r="AM210" i="3"/>
  <c r="AM183" i="3"/>
  <c r="AM184" i="3"/>
  <c r="AM273" i="3"/>
  <c r="AM274" i="3"/>
  <c r="AM275" i="3" s="1"/>
  <c r="AM264" i="3"/>
  <c r="AM265" i="3"/>
  <c r="AM165" i="3"/>
  <c r="AM166" i="3"/>
  <c r="AM220" i="3"/>
  <c r="AM219" i="3"/>
  <c r="AM291" i="3"/>
  <c r="AM292" i="3"/>
  <c r="AM193" i="3"/>
  <c r="AM192" i="3"/>
  <c r="AM202" i="3"/>
  <c r="AM201" i="3"/>
  <c r="AM157" i="3"/>
  <c r="AM156" i="3"/>
  <c r="AM174" i="3"/>
  <c r="AM175" i="3"/>
  <c r="AM301" i="3"/>
  <c r="AM302" i="3" s="1"/>
  <c r="AM300" i="3"/>
  <c r="AM237" i="3"/>
  <c r="AM238" i="3"/>
  <c r="AM282" i="3"/>
  <c r="AM283" i="3"/>
  <c r="R8" i="3"/>
  <c r="R6" i="3"/>
  <c r="R11" i="3" s="1"/>
  <c r="R9" i="3" a="1"/>
  <c r="R9" i="3" s="1"/>
  <c r="AT18" i="4"/>
  <c r="AT29" i="6" s="1"/>
  <c r="AT16" i="4"/>
  <c r="AT27" i="6" s="1"/>
  <c r="BF7" i="2"/>
  <c r="AU29" i="5"/>
  <c r="AT18" i="7"/>
  <c r="AS15" i="7"/>
  <c r="AT22" i="5"/>
  <c r="AU25" i="5"/>
  <c r="AT16" i="7"/>
  <c r="AT28" i="4"/>
  <c r="AT35" i="6" s="1"/>
  <c r="G35" i="6" s="1"/>
  <c r="AU5" i="2"/>
  <c r="AT5" i="4"/>
  <c r="G5" i="2"/>
  <c r="AR21" i="6"/>
  <c r="AT8" i="2"/>
  <c r="G8" i="2" s="1"/>
  <c r="G21" i="4"/>
  <c r="AT19" i="1" s="1"/>
  <c r="AM136" i="3" l="1"/>
  <c r="AN133" i="3" s="1"/>
  <c r="AN132" i="3" s="1"/>
  <c r="AN140" i="3" s="1"/>
  <c r="AM137" i="3"/>
  <c r="AF86" i="3"/>
  <c r="AT7" i="1"/>
  <c r="J6" i="8"/>
  <c r="AV227" i="3"/>
  <c r="AM138" i="3"/>
  <c r="AF81" i="3" a="1"/>
  <c r="AF81" i="3" s="1"/>
  <c r="AF84" i="3" s="1"/>
  <c r="AF80" i="3"/>
  <c r="AT200" i="3"/>
  <c r="AU197" i="3"/>
  <c r="AU198" i="3" a="1"/>
  <c r="AU198" i="3" s="1"/>
  <c r="AU195" i="3"/>
  <c r="AU203" i="3" s="1"/>
  <c r="AN134" i="3"/>
  <c r="AM139" i="3"/>
  <c r="AN135" i="3" a="1"/>
  <c r="AN135" i="3" s="1"/>
  <c r="AA52" i="3"/>
  <c r="Z58" i="3"/>
  <c r="BC261" i="3" a="1"/>
  <c r="BC261" i="3" s="1"/>
  <c r="BC262" i="3" s="1"/>
  <c r="BD259" i="3" s="1"/>
  <c r="AW224" i="3"/>
  <c r="AW226" i="3" s="1"/>
  <c r="AX223" i="3" s="1"/>
  <c r="AW222" i="3"/>
  <c r="AW230" i="3" s="1"/>
  <c r="BB267" i="3"/>
  <c r="BB275" i="3" s="1"/>
  <c r="AO162" i="3" a="1"/>
  <c r="AO162" i="3" s="1"/>
  <c r="BC258" i="3"/>
  <c r="BC266" i="3" s="1"/>
  <c r="AO164" i="3"/>
  <c r="AT27" i="4"/>
  <c r="AT34" i="6" s="1"/>
  <c r="G22" i="5"/>
  <c r="BB270" i="3" a="1"/>
  <c r="BB270" i="3" s="1"/>
  <c r="BB271" i="3" s="1"/>
  <c r="BC268" i="3" s="1"/>
  <c r="AO161" i="3"/>
  <c r="AI103" i="3"/>
  <c r="AR182" i="3"/>
  <c r="AS182" i="3" s="1"/>
  <c r="AM148" i="3"/>
  <c r="AJ120" i="3"/>
  <c r="AJ118" i="3"/>
  <c r="AK115" i="3" s="1"/>
  <c r="AK117" i="3" s="1" a="1"/>
  <c r="AK117" i="3" s="1"/>
  <c r="AT17" i="7"/>
  <c r="AU28" i="5"/>
  <c r="AJ96" i="3"/>
  <c r="AJ99" i="3" a="1"/>
  <c r="AJ99" i="3" s="1"/>
  <c r="AJ98" i="3"/>
  <c r="AU19" i="2"/>
  <c r="AX6" i="2"/>
  <c r="AX13" i="2" s="1"/>
  <c r="AT13" i="6"/>
  <c r="G13" i="6" s="1"/>
  <c r="AT17" i="4"/>
  <c r="AT28" i="6" s="1"/>
  <c r="AT31" i="6" s="1"/>
  <c r="AT6" i="4"/>
  <c r="AT188" i="3"/>
  <c r="AT189" i="3" a="1"/>
  <c r="AT189" i="3" s="1"/>
  <c r="AT186" i="3"/>
  <c r="AT194" i="3" s="1"/>
  <c r="AN141" i="3"/>
  <c r="AN149" i="3" s="1"/>
  <c r="AN144" i="3" a="1"/>
  <c r="AN144" i="3" s="1"/>
  <c r="AN145" i="3" s="1"/>
  <c r="AO142" i="3" s="1"/>
  <c r="AO143" i="3" s="1"/>
  <c r="AM319" i="3"/>
  <c r="AS180" i="3" a="1"/>
  <c r="AS180" i="3" s="1"/>
  <c r="BA244" i="3"/>
  <c r="BB241" i="3" s="1"/>
  <c r="BB242" i="3" s="1"/>
  <c r="U19" i="3"/>
  <c r="U22" i="3" s="1"/>
  <c r="AS185" i="3"/>
  <c r="AG88" i="3"/>
  <c r="AF94" i="3"/>
  <c r="AS179" i="3"/>
  <c r="BF294" i="3"/>
  <c r="BF297" i="3" a="1"/>
  <c r="BF297" i="3" s="1"/>
  <c r="BF296" i="3"/>
  <c r="AF93" i="3"/>
  <c r="AW235" i="3"/>
  <c r="AX232" i="3" s="1"/>
  <c r="AX233" i="3" s="1"/>
  <c r="AW236" i="3"/>
  <c r="BA253" i="3"/>
  <c r="BB250" i="3" s="1"/>
  <c r="BB252" i="3" s="1" a="1"/>
  <c r="BB252" i="3" s="1"/>
  <c r="AJ109" i="3"/>
  <c r="AK106" i="3" s="1"/>
  <c r="AW209" i="3"/>
  <c r="AR155" i="3"/>
  <c r="AN137" i="3"/>
  <c r="U21" i="3"/>
  <c r="W26" i="3"/>
  <c r="W29" i="3"/>
  <c r="W27" i="3" a="1"/>
  <c r="W27" i="3" s="1"/>
  <c r="V31" i="3"/>
  <c r="AJ111" i="3"/>
  <c r="AM318" i="3"/>
  <c r="BK339" i="3"/>
  <c r="BK347" i="3" s="1"/>
  <c r="BK341" i="3"/>
  <c r="BK342" i="3" a="1"/>
  <c r="BK342" i="3" s="1"/>
  <c r="BG312" i="3"/>
  <c r="BG320" i="3" s="1"/>
  <c r="BG314" i="3"/>
  <c r="BG316" i="3" s="1"/>
  <c r="BH313" i="3" s="1"/>
  <c r="AM328" i="3"/>
  <c r="AS152" i="3"/>
  <c r="AS154" i="3" s="1"/>
  <c r="AT151" i="3" s="1"/>
  <c r="AM327" i="3"/>
  <c r="W41" i="3"/>
  <c r="W39" i="3"/>
  <c r="W37" i="3"/>
  <c r="AS150" i="3"/>
  <c r="AS158" i="3" s="1"/>
  <c r="AC77" i="3"/>
  <c r="AC75" i="3"/>
  <c r="BC279" i="3" a="1"/>
  <c r="BC279" i="3" s="1"/>
  <c r="BC278" i="3"/>
  <c r="BC276" i="3"/>
  <c r="BC284" i="3" s="1"/>
  <c r="AC68" i="3"/>
  <c r="AC66" i="3"/>
  <c r="AM124" i="3"/>
  <c r="AL130" i="3"/>
  <c r="X49" i="3"/>
  <c r="Y43" i="3"/>
  <c r="AC64" i="3"/>
  <c r="BG287" i="3"/>
  <c r="BG288" i="3" a="1"/>
  <c r="BG288" i="3" s="1"/>
  <c r="BG285" i="3"/>
  <c r="BG293" i="3" s="1"/>
  <c r="AL129" i="3"/>
  <c r="BF306" i="3" a="1"/>
  <c r="BF306" i="3" s="1"/>
  <c r="BF305" i="3"/>
  <c r="BF303" i="3"/>
  <c r="BI321" i="3"/>
  <c r="BI329" i="3" s="1"/>
  <c r="BI324" i="3" a="1"/>
  <c r="BI324" i="3" s="1"/>
  <c r="BI323" i="3"/>
  <c r="BK333" i="3" a="1"/>
  <c r="BK333" i="3" s="1"/>
  <c r="BK330" i="3"/>
  <c r="BK338" i="3" s="1"/>
  <c r="BK332" i="3"/>
  <c r="AW208" i="3"/>
  <c r="AX205" i="3" s="1"/>
  <c r="AP168" i="3"/>
  <c r="AP176" i="3" s="1"/>
  <c r="AP171" i="3" a="1"/>
  <c r="AP171" i="3" s="1"/>
  <c r="AP170" i="3"/>
  <c r="AC73" i="3"/>
  <c r="AV213" i="3"/>
  <c r="AV221" i="3" s="1"/>
  <c r="AV216" i="3" a="1"/>
  <c r="AV216" i="3" s="1"/>
  <c r="AV215" i="3"/>
  <c r="AN335" i="3" a="1"/>
  <c r="AN335" i="3" s="1"/>
  <c r="AO335" i="3" s="1"/>
  <c r="AP335" i="3" s="1"/>
  <c r="AQ335" i="3" s="1"/>
  <c r="AR335" i="3" s="1"/>
  <c r="AS335" i="3" s="1"/>
  <c r="AT335" i="3" s="1"/>
  <c r="AU335" i="3" s="1"/>
  <c r="AV335" i="3" s="1"/>
  <c r="AW335" i="3" s="1"/>
  <c r="AX335" i="3" s="1"/>
  <c r="AY335" i="3" s="1"/>
  <c r="AZ335" i="3" s="1"/>
  <c r="BA335" i="3" s="1"/>
  <c r="BB335" i="3" s="1"/>
  <c r="BC335" i="3" s="1"/>
  <c r="BD335" i="3" s="1"/>
  <c r="BE335" i="3" s="1"/>
  <c r="BF335" i="3" s="1"/>
  <c r="BG335" i="3" s="1"/>
  <c r="BH335" i="3" s="1"/>
  <c r="BI335" i="3" s="1"/>
  <c r="BJ335" i="3" s="1"/>
  <c r="AN300" i="3"/>
  <c r="AN301" i="3"/>
  <c r="AN273" i="3"/>
  <c r="AN274" i="3"/>
  <c r="AN228" i="3"/>
  <c r="AN229" i="3"/>
  <c r="AN211" i="3"/>
  <c r="AN210" i="3"/>
  <c r="AN309" i="3"/>
  <c r="AN310" i="3"/>
  <c r="AN311" i="3" s="1"/>
  <c r="AN192" i="3"/>
  <c r="AN193" i="3"/>
  <c r="AN165" i="3"/>
  <c r="AN166" i="3"/>
  <c r="AN174" i="3"/>
  <c r="AN175" i="3"/>
  <c r="AN318" i="3"/>
  <c r="AN319" i="3"/>
  <c r="AN328" i="3"/>
  <c r="AN327" i="3"/>
  <c r="AN255" i="3"/>
  <c r="AN256" i="3"/>
  <c r="AN202" i="3"/>
  <c r="AN201" i="3"/>
  <c r="AN156" i="3"/>
  <c r="AN157" i="3"/>
  <c r="AN265" i="3"/>
  <c r="AN264" i="3"/>
  <c r="AN247" i="3"/>
  <c r="AN246" i="3"/>
  <c r="AN292" i="3"/>
  <c r="AN291" i="3"/>
  <c r="AN238" i="3"/>
  <c r="AN237" i="3"/>
  <c r="AN283" i="3"/>
  <c r="AN284" i="3" s="1"/>
  <c r="AN282" i="3"/>
  <c r="AN220" i="3"/>
  <c r="AN219" i="3"/>
  <c r="AN183" i="3"/>
  <c r="AN184" i="3"/>
  <c r="R14" i="3"/>
  <c r="R4" i="3" s="1"/>
  <c r="R5" i="3"/>
  <c r="R10" i="3"/>
  <c r="AU18" i="4"/>
  <c r="AU29" i="6" s="1"/>
  <c r="AU16" i="4"/>
  <c r="AU27" i="6" s="1"/>
  <c r="BG7" i="2"/>
  <c r="G28" i="4"/>
  <c r="AV25" i="5"/>
  <c r="AU16" i="7"/>
  <c r="AU28" i="4"/>
  <c r="AU35" i="6" s="1"/>
  <c r="AT15" i="7"/>
  <c r="AU22" i="5"/>
  <c r="AU27" i="4" s="1"/>
  <c r="AU34" i="6" s="1"/>
  <c r="AV29" i="5"/>
  <c r="AU18" i="7"/>
  <c r="AV5" i="2"/>
  <c r="AT20" i="6"/>
  <c r="G5" i="4"/>
  <c r="AU5" i="4"/>
  <c r="H7" i="2"/>
  <c r="AU8" i="2"/>
  <c r="G32" i="6"/>
  <c r="G16" i="4"/>
  <c r="G29" i="6"/>
  <c r="G18" i="4"/>
  <c r="J21" i="8"/>
  <c r="L21" i="8" s="1"/>
  <c r="AF82" i="3" l="1"/>
  <c r="AG79" i="3" s="1"/>
  <c r="AG81" i="3" s="1" a="1"/>
  <c r="AG81" i="3" s="1"/>
  <c r="L6" i="8"/>
  <c r="K6" i="8"/>
  <c r="AU199" i="3"/>
  <c r="AV196" i="3" s="1"/>
  <c r="AV197" i="3" s="1"/>
  <c r="AN136" i="3"/>
  <c r="AO133" i="3" s="1"/>
  <c r="AO135" i="3" s="1" a="1"/>
  <c r="AO135" i="3" s="1"/>
  <c r="AU200" i="3"/>
  <c r="BB272" i="3"/>
  <c r="AA53" i="3"/>
  <c r="AA51" i="3"/>
  <c r="AA54" i="3" a="1"/>
  <c r="AA54" i="3" s="1"/>
  <c r="BC263" i="3"/>
  <c r="AW227" i="3"/>
  <c r="BH312" i="3"/>
  <c r="BH320" i="3" s="1"/>
  <c r="AO163" i="3"/>
  <c r="AP160" i="3" s="1"/>
  <c r="AP161" i="3" s="1"/>
  <c r="AF85" i="3"/>
  <c r="AK114" i="3"/>
  <c r="AK122" i="3" s="1"/>
  <c r="AG80" i="3"/>
  <c r="AG82" i="3" s="1"/>
  <c r="AH79" i="3" s="1"/>
  <c r="AH81" i="3" s="1" a="1"/>
  <c r="AH81" i="3" s="1"/>
  <c r="AG78" i="3"/>
  <c r="AG86" i="3" s="1"/>
  <c r="AX225" i="3" a="1"/>
  <c r="AX225" i="3" s="1"/>
  <c r="AX222" i="3"/>
  <c r="AX224" i="3"/>
  <c r="AJ121" i="3"/>
  <c r="AK116" i="3"/>
  <c r="AK118" i="3" s="1"/>
  <c r="AL115" i="3" s="1"/>
  <c r="AV198" i="3" a="1"/>
  <c r="AV198" i="3" s="1"/>
  <c r="AV199" i="3" s="1"/>
  <c r="AW196" i="3" s="1"/>
  <c r="AW195" i="3" s="1"/>
  <c r="AW203" i="3" s="1"/>
  <c r="BB251" i="3"/>
  <c r="BB253" i="3" s="1"/>
  <c r="BC250" i="3" s="1"/>
  <c r="BC281" i="3"/>
  <c r="BC267" i="3"/>
  <c r="BC269" i="3"/>
  <c r="BC270" i="3" a="1"/>
  <c r="BC270" i="3" s="1"/>
  <c r="AU17" i="7"/>
  <c r="AV28" i="5"/>
  <c r="BB249" i="3"/>
  <c r="BB257" i="3" s="1"/>
  <c r="AO141" i="3"/>
  <c r="AO149" i="3" s="1"/>
  <c r="AO144" i="3" a="1"/>
  <c r="AO144" i="3" s="1"/>
  <c r="AO145" i="3" s="1"/>
  <c r="AP142" i="3" s="1"/>
  <c r="AN146" i="3"/>
  <c r="AJ100" i="3"/>
  <c r="AK97" i="3" s="1"/>
  <c r="BB243" i="3" a="1"/>
  <c r="BB243" i="3" s="1"/>
  <c r="BB244" i="3" s="1"/>
  <c r="BC241" i="3" s="1"/>
  <c r="BC242" i="3" s="1"/>
  <c r="AT191" i="3"/>
  <c r="AJ104" i="3"/>
  <c r="AJ101" i="3"/>
  <c r="AJ102" i="3" s="1"/>
  <c r="AT190" i="3"/>
  <c r="AU187" i="3" s="1"/>
  <c r="AV19" i="2"/>
  <c r="AY6" i="2"/>
  <c r="AY13" i="2" s="1"/>
  <c r="BB240" i="3"/>
  <c r="BB248" i="3" s="1"/>
  <c r="AU13" i="6"/>
  <c r="AU17" i="4"/>
  <c r="AU28" i="6" s="1"/>
  <c r="AU31" i="6" s="1"/>
  <c r="AU6" i="4"/>
  <c r="V16" i="3"/>
  <c r="V17" i="3" s="1"/>
  <c r="AS181" i="3"/>
  <c r="AT178" i="3" s="1"/>
  <c r="AT179" i="3" s="1"/>
  <c r="BK335" i="3"/>
  <c r="AX234" i="3" a="1"/>
  <c r="AX234" i="3" s="1"/>
  <c r="AX235" i="3" s="1"/>
  <c r="AY232" i="3" s="1"/>
  <c r="AX231" i="3"/>
  <c r="AX239" i="3" s="1"/>
  <c r="BF302" i="3"/>
  <c r="BF299" i="3"/>
  <c r="AG87" i="3"/>
  <c r="AG89" i="3"/>
  <c r="AG90" i="3" a="1"/>
  <c r="AG90" i="3" s="1"/>
  <c r="BF298" i="3"/>
  <c r="BG295" i="3" s="1"/>
  <c r="AN138" i="3"/>
  <c r="BF307" i="3"/>
  <c r="BG304" i="3" s="1"/>
  <c r="BG305" i="3" s="1"/>
  <c r="BG317" i="3"/>
  <c r="AS155" i="3"/>
  <c r="BI326" i="3"/>
  <c r="BF311" i="3"/>
  <c r="BF308" i="3"/>
  <c r="BG290" i="3"/>
  <c r="AJ112" i="3"/>
  <c r="W28" i="3"/>
  <c r="X25" i="3" s="1"/>
  <c r="X27" i="3" s="1" a="1"/>
  <c r="X27" i="3" s="1"/>
  <c r="AV218" i="3"/>
  <c r="AP172" i="3"/>
  <c r="AQ169" i="3" s="1"/>
  <c r="AQ170" i="3" s="1"/>
  <c r="AP173" i="3"/>
  <c r="BK343" i="3"/>
  <c r="BH314" i="3"/>
  <c r="BH315" i="3" a="1"/>
  <c r="BH315" i="3" s="1"/>
  <c r="AT150" i="3"/>
  <c r="AT158" i="3" s="1"/>
  <c r="AT153" i="3" a="1"/>
  <c r="AT153" i="3" s="1"/>
  <c r="AT152" i="3"/>
  <c r="W40" i="3"/>
  <c r="X34" i="3"/>
  <c r="BK334" i="3"/>
  <c r="AN337" i="3"/>
  <c r="AN336" i="3"/>
  <c r="AD70" i="3"/>
  <c r="AC76" i="3"/>
  <c r="AK107" i="3"/>
  <c r="AK105" i="3"/>
  <c r="AK110" i="3" s="1"/>
  <c r="AK108" i="3" a="1"/>
  <c r="AK108" i="3" s="1"/>
  <c r="AM123" i="3"/>
  <c r="AM128" i="3" s="1"/>
  <c r="AM125" i="3"/>
  <c r="AM126" i="3" a="1"/>
  <c r="AM126" i="3" s="1"/>
  <c r="AC67" i="3"/>
  <c r="AD61" i="3"/>
  <c r="AX207" i="3" a="1"/>
  <c r="AX207" i="3" s="1"/>
  <c r="AX206" i="3"/>
  <c r="AX204" i="3"/>
  <c r="AX212" i="3" s="1"/>
  <c r="AV217" i="3"/>
  <c r="AW214" i="3" s="1"/>
  <c r="BI325" i="3"/>
  <c r="BJ322" i="3" s="1"/>
  <c r="BD258" i="3"/>
  <c r="BD266" i="3" s="1"/>
  <c r="BD260" i="3"/>
  <c r="BD261" i="3" a="1"/>
  <c r="BD261" i="3" s="1"/>
  <c r="BG289" i="3"/>
  <c r="BH286" i="3" s="1"/>
  <c r="Y44" i="3"/>
  <c r="Y45" i="3" a="1"/>
  <c r="Y45" i="3" s="1"/>
  <c r="Y42" i="3"/>
  <c r="Y47" i="3" s="1"/>
  <c r="W30" i="3"/>
  <c r="BC280" i="3"/>
  <c r="BD277" i="3" s="1"/>
  <c r="AO344" i="3" a="1"/>
  <c r="AO344" i="3" s="1"/>
  <c r="AO265" i="3"/>
  <c r="AO264" i="3"/>
  <c r="AO165" i="3"/>
  <c r="AO255" i="3"/>
  <c r="AO256" i="3"/>
  <c r="AO327" i="3"/>
  <c r="AO328" i="3"/>
  <c r="AO192" i="3"/>
  <c r="AO193" i="3"/>
  <c r="AO210" i="3"/>
  <c r="AO211" i="3"/>
  <c r="AO301" i="3"/>
  <c r="AO300" i="3"/>
  <c r="AO282" i="3"/>
  <c r="AO283" i="3"/>
  <c r="AO157" i="3"/>
  <c r="AO156" i="3"/>
  <c r="AO318" i="3"/>
  <c r="AO319" i="3"/>
  <c r="AO320" i="3" s="1"/>
  <c r="AO228" i="3"/>
  <c r="AO229" i="3"/>
  <c r="AO291" i="3"/>
  <c r="AO292" i="3"/>
  <c r="AO293" i="3" s="1"/>
  <c r="AO273" i="3"/>
  <c r="AO274" i="3"/>
  <c r="AO309" i="3"/>
  <c r="AO310" i="3"/>
  <c r="AO237" i="3"/>
  <c r="AO238" i="3"/>
  <c r="AO246" i="3"/>
  <c r="AO247" i="3"/>
  <c r="AO175" i="3"/>
  <c r="AO174" i="3"/>
  <c r="AO336" i="3"/>
  <c r="AO337" i="3"/>
  <c r="AO184" i="3"/>
  <c r="AO183" i="3"/>
  <c r="AO219" i="3"/>
  <c r="AO220" i="3"/>
  <c r="AO201" i="3"/>
  <c r="AO202" i="3"/>
  <c r="R13" i="3"/>
  <c r="R3" i="3" s="1"/>
  <c r="Y22" i="2" s="1"/>
  <c r="Y14" i="6" s="1"/>
  <c r="S7" i="3"/>
  <c r="R12" i="3"/>
  <c r="R2" i="3" s="1"/>
  <c r="AV16" i="4"/>
  <c r="AV27" i="6" s="1"/>
  <c r="AV18" i="4"/>
  <c r="AV29" i="6" s="1"/>
  <c r="BH7" i="2"/>
  <c r="AW29" i="5"/>
  <c r="AV18" i="7"/>
  <c r="AU15" i="7"/>
  <c r="AV22" i="5"/>
  <c r="AV27" i="4" s="1"/>
  <c r="AV34" i="6" s="1"/>
  <c r="AW25" i="5"/>
  <c r="AV16" i="7"/>
  <c r="AV28" i="4"/>
  <c r="AV35" i="6" s="1"/>
  <c r="AW5" i="2"/>
  <c r="AU20" i="6"/>
  <c r="AV5" i="4"/>
  <c r="AV20" i="6" s="1"/>
  <c r="AT21" i="6"/>
  <c r="G21" i="6" s="1"/>
  <c r="G6" i="4"/>
  <c r="AV8" i="2"/>
  <c r="G20" i="6"/>
  <c r="G15" i="7"/>
  <c r="G27" i="6"/>
  <c r="K21" i="8"/>
  <c r="G28" i="6"/>
  <c r="G17" i="4"/>
  <c r="G27" i="4"/>
  <c r="AV195" i="3" l="1"/>
  <c r="AV203" i="3" s="1"/>
  <c r="AN139" i="3"/>
  <c r="AO134" i="3"/>
  <c r="AO136" i="3" s="1"/>
  <c r="AP133" i="3" s="1"/>
  <c r="AO132" i="3"/>
  <c r="AO140" i="3" s="1"/>
  <c r="AP162" i="3" a="1"/>
  <c r="AP162" i="3" s="1"/>
  <c r="AP163" i="3" s="1"/>
  <c r="AQ160" i="3" s="1"/>
  <c r="AQ162" i="3" s="1" a="1"/>
  <c r="AQ162" i="3" s="1"/>
  <c r="BH317" i="3"/>
  <c r="AO166" i="3"/>
  <c r="AA59" i="3"/>
  <c r="AA56" i="3"/>
  <c r="AA57" i="3" s="1"/>
  <c r="AA55" i="3"/>
  <c r="AP159" i="3"/>
  <c r="AP167" i="3" s="1"/>
  <c r="AK119" i="3"/>
  <c r="AK120" i="3" s="1"/>
  <c r="AG83" i="3"/>
  <c r="AG84" i="3" s="1"/>
  <c r="AT180" i="3" a="1"/>
  <c r="AT180" i="3" s="1"/>
  <c r="AT181" i="3" s="1"/>
  <c r="AU178" i="3" s="1"/>
  <c r="AX226" i="3"/>
  <c r="AY223" i="3" s="1"/>
  <c r="AY225" i="3" s="1" a="1"/>
  <c r="AY225" i="3" s="1"/>
  <c r="AX230" i="3"/>
  <c r="AX227" i="3"/>
  <c r="BB245" i="3"/>
  <c r="AO146" i="3"/>
  <c r="AO147" i="3" s="1"/>
  <c r="AW197" i="3"/>
  <c r="AW198" i="3" a="1"/>
  <c r="AW198" i="3" s="1"/>
  <c r="BG303" i="3"/>
  <c r="BG311" i="3" s="1"/>
  <c r="V15" i="3"/>
  <c r="V23" i="3" s="1"/>
  <c r="V18" i="3" a="1"/>
  <c r="V18" i="3" s="1"/>
  <c r="V19" i="3" s="1"/>
  <c r="AV17" i="7"/>
  <c r="AW28" i="5"/>
  <c r="AV200" i="3"/>
  <c r="AW200" i="3" s="1"/>
  <c r="BB254" i="3"/>
  <c r="BC271" i="3"/>
  <c r="BD268" i="3" s="1"/>
  <c r="BC275" i="3"/>
  <c r="BC272" i="3"/>
  <c r="BD263" i="3"/>
  <c r="AQ168" i="3"/>
  <c r="AQ176" i="3" s="1"/>
  <c r="BC240" i="3"/>
  <c r="BC248" i="3" s="1"/>
  <c r="BC243" i="3" a="1"/>
  <c r="BC243" i="3" s="1"/>
  <c r="BC244" i="3" s="1"/>
  <c r="BD241" i="3" s="1"/>
  <c r="AN148" i="3"/>
  <c r="AN147" i="3"/>
  <c r="AK98" i="3"/>
  <c r="AK96" i="3"/>
  <c r="AK99" i="3" a="1"/>
  <c r="AK99" i="3" s="1"/>
  <c r="AJ103" i="3"/>
  <c r="AV13" i="6"/>
  <c r="AV17" i="4"/>
  <c r="AV28" i="6" s="1"/>
  <c r="AV31" i="6" s="1"/>
  <c r="AV6" i="4"/>
  <c r="AV21" i="6" s="1"/>
  <c r="AZ6" i="2"/>
  <c r="AZ13" i="2" s="1"/>
  <c r="AW19" i="2"/>
  <c r="AQ171" i="3" a="1"/>
  <c r="AQ171" i="3" s="1"/>
  <c r="AQ172" i="3" s="1"/>
  <c r="AR169" i="3" s="1"/>
  <c r="AU186" i="3"/>
  <c r="AU189" i="3" a="1"/>
  <c r="AU189" i="3" s="1"/>
  <c r="AU188" i="3"/>
  <c r="AT177" i="3"/>
  <c r="AT185" i="3" s="1"/>
  <c r="AX236" i="3"/>
  <c r="W31" i="3"/>
  <c r="X26" i="3"/>
  <c r="X28" i="3" s="1"/>
  <c r="Y25" i="3" s="1"/>
  <c r="AG91" i="3"/>
  <c r="AT155" i="3"/>
  <c r="AG95" i="3"/>
  <c r="AG92" i="3"/>
  <c r="AG93" i="3" s="1"/>
  <c r="BG294" i="3"/>
  <c r="BG302" i="3" s="1"/>
  <c r="BG296" i="3"/>
  <c r="BG297" i="3" a="1"/>
  <c r="BG297" i="3" s="1"/>
  <c r="BH316" i="3"/>
  <c r="BI313" i="3" s="1"/>
  <c r="BI315" i="3" s="1" a="1"/>
  <c r="BI315" i="3" s="1"/>
  <c r="BG306" i="3" a="1"/>
  <c r="BG306" i="3" s="1"/>
  <c r="BG307" i="3" s="1"/>
  <c r="BH304" i="3" s="1"/>
  <c r="AO345" i="3"/>
  <c r="AP344" i="3"/>
  <c r="AQ344" i="3" s="1"/>
  <c r="AR344" i="3" s="1"/>
  <c r="AS344" i="3" s="1"/>
  <c r="AT344" i="3" s="1"/>
  <c r="AU344" i="3" s="1"/>
  <c r="AV344" i="3" s="1"/>
  <c r="AW344" i="3" s="1"/>
  <c r="AX344" i="3" s="1"/>
  <c r="AY344" i="3" s="1"/>
  <c r="AZ344" i="3" s="1"/>
  <c r="BA344" i="3" s="1"/>
  <c r="BB344" i="3" s="1"/>
  <c r="BC344" i="3" s="1"/>
  <c r="BD344" i="3" s="1"/>
  <c r="BE344" i="3" s="1"/>
  <c r="BF344" i="3" s="1"/>
  <c r="BG344" i="3" s="1"/>
  <c r="BH344" i="3" s="1"/>
  <c r="BI344" i="3" s="1"/>
  <c r="BJ344" i="3" s="1"/>
  <c r="BK344" i="3" s="1"/>
  <c r="AX209" i="3"/>
  <c r="X24" i="3"/>
  <c r="X32" i="3" s="1"/>
  <c r="AO346" i="3"/>
  <c r="AH80" i="3"/>
  <c r="AH82" i="3" s="1"/>
  <c r="AH78" i="3"/>
  <c r="AH86" i="3" s="1"/>
  <c r="X35" i="3"/>
  <c r="X33" i="3"/>
  <c r="X38" i="3" s="1"/>
  <c r="X36" i="3" a="1"/>
  <c r="X36" i="3" s="1"/>
  <c r="AX208" i="3"/>
  <c r="AY205" i="3" s="1"/>
  <c r="AY206" i="3" s="1"/>
  <c r="AT154" i="3"/>
  <c r="AU151" i="3" s="1"/>
  <c r="Y50" i="3"/>
  <c r="AY234" i="3" a="1"/>
  <c r="AY234" i="3" s="1"/>
  <c r="AY233" i="3"/>
  <c r="AY231" i="3"/>
  <c r="AY239" i="3" s="1"/>
  <c r="Y46" i="3"/>
  <c r="BD262" i="3"/>
  <c r="BE259" i="3" s="1"/>
  <c r="AK113" i="3"/>
  <c r="AK111" i="3"/>
  <c r="AL116" i="3"/>
  <c r="AL117" i="3" a="1"/>
  <c r="AL117" i="3" s="1"/>
  <c r="AL114" i="3"/>
  <c r="AM127" i="3"/>
  <c r="AK109" i="3"/>
  <c r="BH285" i="3"/>
  <c r="BH293" i="3" s="1"/>
  <c r="BH288" i="3" a="1"/>
  <c r="BH288" i="3" s="1"/>
  <c r="BH287" i="3"/>
  <c r="AM131" i="3"/>
  <c r="AP144" i="3" a="1"/>
  <c r="AP144" i="3" s="1"/>
  <c r="AP143" i="3"/>
  <c r="AP141" i="3"/>
  <c r="BD276" i="3"/>
  <c r="BD279" i="3" a="1"/>
  <c r="BD279" i="3" s="1"/>
  <c r="BD278" i="3"/>
  <c r="BJ323" i="3"/>
  <c r="BJ321" i="3"/>
  <c r="BJ329" i="3" s="1"/>
  <c r="BJ324" i="3" a="1"/>
  <c r="BJ324" i="3" s="1"/>
  <c r="AD63" i="3" a="1"/>
  <c r="AD63" i="3" s="1"/>
  <c r="AD60" i="3"/>
  <c r="AD65" i="3" s="1"/>
  <c r="AD62" i="3"/>
  <c r="AW215" i="3"/>
  <c r="AW213" i="3"/>
  <c r="AW221" i="3" s="1"/>
  <c r="AW216" i="3" a="1"/>
  <c r="AW216" i="3" s="1"/>
  <c r="BC249" i="3"/>
  <c r="BC257" i="3" s="1"/>
  <c r="BC251" i="3"/>
  <c r="BC252" i="3" a="1"/>
  <c r="BC252" i="3" s="1"/>
  <c r="AD72" i="3" a="1"/>
  <c r="AD72" i="3" s="1"/>
  <c r="AD69" i="3"/>
  <c r="AD74" i="3" s="1"/>
  <c r="AD71" i="3"/>
  <c r="AP353" i="3" a="1"/>
  <c r="AP353" i="3" s="1"/>
  <c r="AP247" i="3"/>
  <c r="AP246" i="3"/>
  <c r="AP283" i="3"/>
  <c r="AP282" i="3"/>
  <c r="AP192" i="3"/>
  <c r="AP193" i="3"/>
  <c r="AP201" i="3"/>
  <c r="AP202" i="3"/>
  <c r="AP175" i="3"/>
  <c r="AP174" i="3"/>
  <c r="AP274" i="3"/>
  <c r="AP273" i="3"/>
  <c r="AP318" i="3"/>
  <c r="AP319" i="3"/>
  <c r="AP238" i="3"/>
  <c r="AP237" i="3"/>
  <c r="AP292" i="3"/>
  <c r="AP291" i="3"/>
  <c r="AP300" i="3"/>
  <c r="AP301" i="3"/>
  <c r="AP302" i="3" s="1"/>
  <c r="AP336" i="3"/>
  <c r="AP337" i="3"/>
  <c r="AP183" i="3"/>
  <c r="AP184" i="3"/>
  <c r="AP310" i="3"/>
  <c r="AP309" i="3"/>
  <c r="AP327" i="3"/>
  <c r="AP328" i="3"/>
  <c r="AP329" i="3" s="1"/>
  <c r="AP264" i="3"/>
  <c r="AP265" i="3"/>
  <c r="AP255" i="3"/>
  <c r="AP256" i="3"/>
  <c r="AP220" i="3"/>
  <c r="AP219" i="3"/>
  <c r="AP228" i="3"/>
  <c r="AP229" i="3"/>
  <c r="AP156" i="3"/>
  <c r="AP157" i="3"/>
  <c r="AP210" i="3"/>
  <c r="AP211" i="3"/>
  <c r="S8" i="3"/>
  <c r="S9" i="3" a="1"/>
  <c r="S9" i="3" s="1"/>
  <c r="S6" i="3"/>
  <c r="S11" i="3" s="1"/>
  <c r="AW16" i="4"/>
  <c r="AW27" i="6" s="1"/>
  <c r="AW18" i="4"/>
  <c r="AW29" i="6" s="1"/>
  <c r="BI7" i="2"/>
  <c r="AX25" i="5"/>
  <c r="AW16" i="7"/>
  <c r="AW28" i="4"/>
  <c r="AW35" i="6" s="1"/>
  <c r="AV15" i="7"/>
  <c r="AW22" i="5"/>
  <c r="AW27" i="4" s="1"/>
  <c r="AW34" i="6" s="1"/>
  <c r="AX29" i="5"/>
  <c r="AW18" i="7"/>
  <c r="AX5" i="2"/>
  <c r="G31" i="10"/>
  <c r="G28" i="10"/>
  <c r="G30" i="10"/>
  <c r="G29" i="10"/>
  <c r="G27" i="10"/>
  <c r="AW5" i="4"/>
  <c r="AU21" i="6"/>
  <c r="AW8" i="2"/>
  <c r="G34" i="6"/>
  <c r="AP134" i="3" l="1"/>
  <c r="AP132" i="3"/>
  <c r="AP135" i="3" a="1"/>
  <c r="AP135" i="3" s="1"/>
  <c r="AO137" i="3"/>
  <c r="AO138" i="3" s="1"/>
  <c r="AG85" i="3"/>
  <c r="AQ159" i="3"/>
  <c r="AQ167" i="3" s="1"/>
  <c r="AQ161" i="3"/>
  <c r="AQ163" i="3" s="1"/>
  <c r="AR160" i="3" s="1"/>
  <c r="AR162" i="3" s="1" a="1"/>
  <c r="AR162" i="3" s="1"/>
  <c r="AP164" i="3"/>
  <c r="AP165" i="3" s="1"/>
  <c r="AB52" i="3"/>
  <c r="AA58" i="3"/>
  <c r="AK121" i="3"/>
  <c r="AL119" i="3"/>
  <c r="AW199" i="3"/>
  <c r="AX196" i="3" s="1"/>
  <c r="AX197" i="3" s="1"/>
  <c r="AY222" i="3"/>
  <c r="AY230" i="3" s="1"/>
  <c r="AY224" i="3"/>
  <c r="AY226" i="3" s="1"/>
  <c r="AZ223" i="3" s="1"/>
  <c r="AP146" i="3"/>
  <c r="AO148" i="3"/>
  <c r="BG308" i="3"/>
  <c r="V20" i="3"/>
  <c r="V21" i="3" s="1"/>
  <c r="AQ173" i="3"/>
  <c r="AQ174" i="3" s="1"/>
  <c r="BC245" i="3"/>
  <c r="AT182" i="3"/>
  <c r="BD267" i="3"/>
  <c r="BD275" i="3" s="1"/>
  <c r="BD269" i="3"/>
  <c r="BD270" i="3" a="1"/>
  <c r="BD270" i="3" s="1"/>
  <c r="AW17" i="7"/>
  <c r="AX28" i="5"/>
  <c r="AK101" i="3"/>
  <c r="AK102" i="3" s="1"/>
  <c r="AK104" i="3"/>
  <c r="AK100" i="3"/>
  <c r="AU194" i="3"/>
  <c r="AU191" i="3"/>
  <c r="AW13" i="6"/>
  <c r="AW17" i="4"/>
  <c r="AW28" i="6" s="1"/>
  <c r="AW31" i="6" s="1"/>
  <c r="AW6" i="4"/>
  <c r="AW21" i="6" s="1"/>
  <c r="AW218" i="3"/>
  <c r="AX19" i="2"/>
  <c r="BA6" i="2"/>
  <c r="BA13" i="2" s="1"/>
  <c r="AU190" i="3"/>
  <c r="AV187" i="3" s="1"/>
  <c r="BI314" i="3"/>
  <c r="BI316" i="3" s="1"/>
  <c r="BJ313" i="3" s="1"/>
  <c r="BJ315" i="3" s="1" a="1"/>
  <c r="BJ315" i="3" s="1"/>
  <c r="BI312" i="3"/>
  <c r="BI320" i="3" s="1"/>
  <c r="BH306" i="3" a="1"/>
  <c r="BH306" i="3" s="1"/>
  <c r="BH305" i="3"/>
  <c r="BG299" i="3"/>
  <c r="AD64" i="3"/>
  <c r="AE61" i="3" s="1"/>
  <c r="X29" i="3"/>
  <c r="X30" i="3" s="1"/>
  <c r="AH83" i="3"/>
  <c r="AH84" i="3" s="1"/>
  <c r="BG298" i="3"/>
  <c r="BH295" i="3" s="1"/>
  <c r="AG94" i="3"/>
  <c r="AH88" i="3"/>
  <c r="BH303" i="3"/>
  <c r="BH311" i="3" s="1"/>
  <c r="BC254" i="3"/>
  <c r="BD284" i="3"/>
  <c r="BD281" i="3"/>
  <c r="AP354" i="3"/>
  <c r="AQ353" i="3"/>
  <c r="AR353" i="3" s="1"/>
  <c r="AS353" i="3" s="1"/>
  <c r="AT353" i="3" s="1"/>
  <c r="AU353" i="3" s="1"/>
  <c r="AV353" i="3" s="1"/>
  <c r="AW353" i="3" s="1"/>
  <c r="AX353" i="3" s="1"/>
  <c r="AY353" i="3" s="1"/>
  <c r="AZ353" i="3" s="1"/>
  <c r="BA353" i="3" s="1"/>
  <c r="BB353" i="3" s="1"/>
  <c r="BC353" i="3" s="1"/>
  <c r="BD353" i="3" s="1"/>
  <c r="BE353" i="3" s="1"/>
  <c r="BF353" i="3" s="1"/>
  <c r="BG353" i="3" s="1"/>
  <c r="BH353" i="3" s="1"/>
  <c r="BI353" i="3" s="1"/>
  <c r="BJ353" i="3" s="1"/>
  <c r="BK353" i="3" s="1"/>
  <c r="AY236" i="3"/>
  <c r="AP346" i="3"/>
  <c r="AP345" i="3"/>
  <c r="BJ326" i="3"/>
  <c r="AU180" i="3" a="1"/>
  <c r="AU180" i="3" s="1"/>
  <c r="AU179" i="3"/>
  <c r="AU177" i="3"/>
  <c r="AU185" i="3" s="1"/>
  <c r="BH290" i="3"/>
  <c r="W16" i="3"/>
  <c r="BD280" i="3"/>
  <c r="BE277" i="3" s="1"/>
  <c r="BE278" i="3" s="1"/>
  <c r="AY204" i="3"/>
  <c r="AY212" i="3" s="1"/>
  <c r="BJ325" i="3"/>
  <c r="BK322" i="3" s="1"/>
  <c r="BK323" i="3" s="1"/>
  <c r="AL118" i="3"/>
  <c r="AM115" i="3" s="1"/>
  <c r="AM116" i="3" s="1"/>
  <c r="AY207" i="3" a="1"/>
  <c r="AY207" i="3" s="1"/>
  <c r="AY208" i="3" s="1"/>
  <c r="AZ205" i="3" s="1"/>
  <c r="AP355" i="3"/>
  <c r="AU153" i="3" a="1"/>
  <c r="AU153" i="3" s="1"/>
  <c r="AU152" i="3"/>
  <c r="AU150" i="3"/>
  <c r="BH289" i="3"/>
  <c r="BI286" i="3" s="1"/>
  <c r="BI287" i="3" s="1"/>
  <c r="X41" i="3"/>
  <c r="X39" i="3"/>
  <c r="X37" i="3"/>
  <c r="BC253" i="3"/>
  <c r="BD250" i="3" s="1"/>
  <c r="BD252" i="3" s="1" a="1"/>
  <c r="BD252" i="3" s="1"/>
  <c r="AD73" i="3"/>
  <c r="AD68" i="3"/>
  <c r="AD66" i="3"/>
  <c r="Y26" i="3"/>
  <c r="Y24" i="3"/>
  <c r="Y27" i="3" a="1"/>
  <c r="Y27" i="3" s="1"/>
  <c r="AI79" i="3"/>
  <c r="AD77" i="3"/>
  <c r="AD75" i="3"/>
  <c r="AW217" i="3"/>
  <c r="AX214" i="3" s="1"/>
  <c r="AK112" i="3"/>
  <c r="AL106" i="3"/>
  <c r="AM129" i="3"/>
  <c r="AR168" i="3"/>
  <c r="AR176" i="3" s="1"/>
  <c r="AR170" i="3"/>
  <c r="AR171" i="3" a="1"/>
  <c r="AR171" i="3" s="1"/>
  <c r="AN124" i="3"/>
  <c r="AM130" i="3"/>
  <c r="BE260" i="3"/>
  <c r="BE258" i="3"/>
  <c r="BE261" i="3" a="1"/>
  <c r="BE261" i="3" s="1"/>
  <c r="Y48" i="3"/>
  <c r="AL122" i="3"/>
  <c r="Y49" i="3"/>
  <c r="Z43" i="3"/>
  <c r="AP140" i="3"/>
  <c r="BD243" i="3" a="1"/>
  <c r="BD243" i="3" s="1"/>
  <c r="BD242" i="3"/>
  <c r="BD240" i="3"/>
  <c r="BD248" i="3" s="1"/>
  <c r="AP136" i="3"/>
  <c r="AP149" i="3"/>
  <c r="AP145" i="3"/>
  <c r="AY235" i="3"/>
  <c r="AZ232" i="3" s="1"/>
  <c r="AQ362" i="3" a="1"/>
  <c r="AQ362" i="3" s="1"/>
  <c r="AR362" i="3" s="1"/>
  <c r="AS362" i="3" s="1"/>
  <c r="AT362" i="3" s="1"/>
  <c r="AU362" i="3" s="1"/>
  <c r="AV362" i="3" s="1"/>
  <c r="AW362" i="3" s="1"/>
  <c r="AX362" i="3" s="1"/>
  <c r="AY362" i="3" s="1"/>
  <c r="AZ362" i="3" s="1"/>
  <c r="BA362" i="3" s="1"/>
  <c r="BB362" i="3" s="1"/>
  <c r="BC362" i="3" s="1"/>
  <c r="BD362" i="3" s="1"/>
  <c r="BE362" i="3" s="1"/>
  <c r="BF362" i="3" s="1"/>
  <c r="BG362" i="3" s="1"/>
  <c r="BH362" i="3" s="1"/>
  <c r="BI362" i="3" s="1"/>
  <c r="BJ362" i="3" s="1"/>
  <c r="BK362" i="3" s="1"/>
  <c r="AQ210" i="3"/>
  <c r="AQ211" i="3"/>
  <c r="AQ292" i="3"/>
  <c r="AQ291" i="3"/>
  <c r="AQ310" i="3"/>
  <c r="AQ311" i="3" s="1"/>
  <c r="AQ309" i="3"/>
  <c r="AQ192" i="3"/>
  <c r="AQ193" i="3"/>
  <c r="AQ319" i="3"/>
  <c r="AQ318" i="3"/>
  <c r="AQ157" i="3"/>
  <c r="AQ156" i="3"/>
  <c r="AQ345" i="3"/>
  <c r="AQ346" i="3"/>
  <c r="AQ265" i="3"/>
  <c r="AQ264" i="3"/>
  <c r="AQ202" i="3"/>
  <c r="AQ201" i="3"/>
  <c r="AQ283" i="3"/>
  <c r="AQ282" i="3"/>
  <c r="AQ247" i="3"/>
  <c r="AQ246" i="3"/>
  <c r="AQ337" i="3"/>
  <c r="AQ338" i="3" s="1"/>
  <c r="AQ336" i="3"/>
  <c r="AQ184" i="3"/>
  <c r="AQ183" i="3"/>
  <c r="AQ256" i="3"/>
  <c r="AQ255" i="3"/>
  <c r="AQ300" i="3"/>
  <c r="AQ301" i="3"/>
  <c r="AQ274" i="3"/>
  <c r="AQ273" i="3"/>
  <c r="AQ229" i="3"/>
  <c r="AQ228" i="3"/>
  <c r="AQ219" i="3"/>
  <c r="AQ220" i="3"/>
  <c r="AQ327" i="3"/>
  <c r="AQ328" i="3"/>
  <c r="AQ237" i="3"/>
  <c r="AQ238" i="3"/>
  <c r="S14" i="3"/>
  <c r="S4" i="3" s="1"/>
  <c r="S10" i="3"/>
  <c r="T7" i="3" s="1"/>
  <c r="AX18" i="4"/>
  <c r="AX29" i="6" s="1"/>
  <c r="AX16" i="4"/>
  <c r="AX27" i="6" s="1"/>
  <c r="BJ7" i="2"/>
  <c r="AY29" i="5"/>
  <c r="AX18" i="7"/>
  <c r="AW15" i="7"/>
  <c r="AX22" i="5"/>
  <c r="AX27" i="4" s="1"/>
  <c r="AX34" i="6" s="1"/>
  <c r="AY25" i="5"/>
  <c r="AX16" i="7"/>
  <c r="AX28" i="4"/>
  <c r="AX35" i="6" s="1"/>
  <c r="AY5" i="2"/>
  <c r="G32" i="10"/>
  <c r="G33" i="10"/>
  <c r="AW20" i="6"/>
  <c r="AX5" i="4"/>
  <c r="AX20" i="6" s="1"/>
  <c r="AX8" i="2"/>
  <c r="AR161" i="3" l="1"/>
  <c r="AP137" i="3"/>
  <c r="AR159" i="3"/>
  <c r="AR167" i="3" s="1"/>
  <c r="AO139" i="3"/>
  <c r="AQ164" i="3"/>
  <c r="AR164" i="3" s="1"/>
  <c r="AR165" i="3" s="1"/>
  <c r="AP166" i="3"/>
  <c r="AX198" i="3" a="1"/>
  <c r="AX198" i="3" s="1"/>
  <c r="AX199" i="3" s="1"/>
  <c r="AY196" i="3" s="1"/>
  <c r="AY198" i="3" s="1" a="1"/>
  <c r="AY198" i="3" s="1"/>
  <c r="AX195" i="3"/>
  <c r="AX203" i="3" s="1"/>
  <c r="AB51" i="3"/>
  <c r="AB53" i="3"/>
  <c r="AB54" i="3" a="1"/>
  <c r="AB54" i="3" s="1"/>
  <c r="AY227" i="3"/>
  <c r="AQ175" i="3"/>
  <c r="AZ225" i="3" a="1"/>
  <c r="AZ225" i="3" s="1"/>
  <c r="AZ224" i="3"/>
  <c r="AZ222" i="3"/>
  <c r="V22" i="3"/>
  <c r="BE279" i="3" a="1"/>
  <c r="BE279" i="3" s="1"/>
  <c r="BE280" i="3" s="1"/>
  <c r="BF277" i="3" s="1"/>
  <c r="BD271" i="3"/>
  <c r="BE268" i="3" s="1"/>
  <c r="AX17" i="7"/>
  <c r="AY28" i="5"/>
  <c r="BD272" i="3"/>
  <c r="BH307" i="3"/>
  <c r="BI304" i="3" s="1"/>
  <c r="BI306" i="3" s="1" a="1"/>
  <c r="BI306" i="3" s="1"/>
  <c r="AK103" i="3"/>
  <c r="AL97" i="3"/>
  <c r="BI317" i="3"/>
  <c r="AX17" i="4"/>
  <c r="AX28" i="6" s="1"/>
  <c r="AX31" i="6" s="1"/>
  <c r="AX13" i="6"/>
  <c r="AX6" i="4"/>
  <c r="AY19" i="2"/>
  <c r="BB6" i="2"/>
  <c r="BB13" i="2" s="1"/>
  <c r="AV186" i="3"/>
  <c r="AV194" i="3" s="1"/>
  <c r="AV189" i="3" a="1"/>
  <c r="AV189" i="3" s="1"/>
  <c r="AV188" i="3"/>
  <c r="Y29" i="3"/>
  <c r="X31" i="3"/>
  <c r="AU181" i="3"/>
  <c r="AV178" i="3" s="1"/>
  <c r="BK324" i="3" a="1"/>
  <c r="BK324" i="3" s="1"/>
  <c r="BK325" i="3" s="1"/>
  <c r="AH89" i="3"/>
  <c r="AH90" i="3" a="1"/>
  <c r="AH90" i="3" s="1"/>
  <c r="AH87" i="3"/>
  <c r="BH297" i="3" a="1"/>
  <c r="BH297" i="3" s="1"/>
  <c r="BH294" i="3"/>
  <c r="BH296" i="3"/>
  <c r="BH308" i="3"/>
  <c r="AQ364" i="3"/>
  <c r="AY209" i="3"/>
  <c r="BE266" i="3"/>
  <c r="BE263" i="3"/>
  <c r="BE276" i="3"/>
  <c r="BE284" i="3" s="1"/>
  <c r="AU182" i="3"/>
  <c r="BK321" i="3"/>
  <c r="BK329" i="3" s="1"/>
  <c r="AU158" i="3"/>
  <c r="AU155" i="3"/>
  <c r="AM114" i="3"/>
  <c r="AR173" i="3"/>
  <c r="AR174" i="3" s="1"/>
  <c r="BD245" i="3"/>
  <c r="AQ354" i="3"/>
  <c r="AR163" i="3"/>
  <c r="AS160" i="3" s="1"/>
  <c r="AS159" i="3" s="1"/>
  <c r="W18" i="3" a="1"/>
  <c r="W18" i="3" s="1"/>
  <c r="W17" i="3"/>
  <c r="W15" i="3"/>
  <c r="S12" i="3"/>
  <c r="S2" i="3" s="1"/>
  <c r="S5" i="3"/>
  <c r="AQ355" i="3"/>
  <c r="BD249" i="3"/>
  <c r="BD257" i="3" s="1"/>
  <c r="AM117" i="3" a="1"/>
  <c r="AM117" i="3" s="1"/>
  <c r="AM118" i="3" s="1"/>
  <c r="BE262" i="3"/>
  <c r="BF259" i="3" s="1"/>
  <c r="BF261" i="3" s="1" a="1"/>
  <c r="BF261" i="3" s="1"/>
  <c r="AH85" i="3"/>
  <c r="BI288" i="3" a="1"/>
  <c r="BI288" i="3" s="1"/>
  <c r="BI289" i="3" s="1"/>
  <c r="BJ286" i="3" s="1"/>
  <c r="BI285" i="3"/>
  <c r="BI293" i="3" s="1"/>
  <c r="BJ312" i="3"/>
  <c r="BJ314" i="3"/>
  <c r="BJ316" i="3" s="1"/>
  <c r="BK313" i="3" s="1"/>
  <c r="AQ363" i="3"/>
  <c r="AL120" i="3"/>
  <c r="BD251" i="3"/>
  <c r="BD253" i="3" s="1"/>
  <c r="BE250" i="3" s="1"/>
  <c r="Y34" i="3"/>
  <c r="X40" i="3"/>
  <c r="AU154" i="3"/>
  <c r="AV151" i="3" s="1"/>
  <c r="AL121" i="3"/>
  <c r="AR172" i="3"/>
  <c r="AS169" i="3" s="1"/>
  <c r="AS170" i="3" s="1"/>
  <c r="BD244" i="3"/>
  <c r="BE241" i="3" s="1"/>
  <c r="BE242" i="3" s="1"/>
  <c r="AQ142" i="3"/>
  <c r="AP148" i="3"/>
  <c r="AD67" i="3"/>
  <c r="AI78" i="3"/>
  <c r="AI83" i="3" s="1"/>
  <c r="AI80" i="3"/>
  <c r="AI81" i="3" a="1"/>
  <c r="AI81" i="3" s="1"/>
  <c r="AE62" i="3"/>
  <c r="AE60" i="3"/>
  <c r="AE63" i="3" a="1"/>
  <c r="AE63" i="3" s="1"/>
  <c r="AX215" i="3"/>
  <c r="AX213" i="3"/>
  <c r="AX216" i="3" a="1"/>
  <c r="AX216" i="3" s="1"/>
  <c r="AD76" i="3"/>
  <c r="AE70" i="3"/>
  <c r="Z45" i="3" a="1"/>
  <c r="Z45" i="3" s="1"/>
  <c r="Z42" i="3"/>
  <c r="Z47" i="3" s="1"/>
  <c r="Z44" i="3"/>
  <c r="AN123" i="3"/>
  <c r="AN128" i="3" s="1"/>
  <c r="AN126" i="3" a="1"/>
  <c r="AN126" i="3" s="1"/>
  <c r="AN125" i="3"/>
  <c r="AZ206" i="3"/>
  <c r="AZ204" i="3"/>
  <c r="AZ212" i="3" s="1"/>
  <c r="AZ207" i="3" a="1"/>
  <c r="AZ207" i="3" s="1"/>
  <c r="AP138" i="3"/>
  <c r="AP139" i="3"/>
  <c r="AQ133" i="3"/>
  <c r="Y32" i="3"/>
  <c r="AZ233" i="3"/>
  <c r="AZ231" i="3"/>
  <c r="AZ239" i="3" s="1"/>
  <c r="AZ234" i="3" a="1"/>
  <c r="AZ234" i="3" s="1"/>
  <c r="AL107" i="3"/>
  <c r="AL108" i="3" a="1"/>
  <c r="AL108" i="3" s="1"/>
  <c r="AL105" i="3"/>
  <c r="AL110" i="3" s="1"/>
  <c r="Y28" i="3"/>
  <c r="AP147" i="3"/>
  <c r="AR371" i="3" a="1"/>
  <c r="AR371" i="3" s="1"/>
  <c r="AR355" i="3"/>
  <c r="AR354" i="3"/>
  <c r="AR183" i="3"/>
  <c r="AR184" i="3"/>
  <c r="AR247" i="3"/>
  <c r="AR246" i="3"/>
  <c r="AR157" i="3"/>
  <c r="AR156" i="3"/>
  <c r="AR219" i="3"/>
  <c r="AR220" i="3"/>
  <c r="AR282" i="3"/>
  <c r="AR283" i="3"/>
  <c r="AR192" i="3"/>
  <c r="AR193" i="3"/>
  <c r="AR210" i="3"/>
  <c r="AR211" i="3"/>
  <c r="AR273" i="3"/>
  <c r="AR274" i="3"/>
  <c r="AR264" i="3"/>
  <c r="AR265" i="3"/>
  <c r="AR310" i="3"/>
  <c r="AR309" i="3"/>
  <c r="AR300" i="3"/>
  <c r="AR301" i="3"/>
  <c r="AR336" i="3"/>
  <c r="AR337" i="3"/>
  <c r="AR318" i="3"/>
  <c r="AR319" i="3"/>
  <c r="AR320" i="3" s="1"/>
  <c r="AR292" i="3"/>
  <c r="AR291" i="3"/>
  <c r="AR228" i="3"/>
  <c r="AR229" i="3"/>
  <c r="AR201" i="3"/>
  <c r="AR202" i="3"/>
  <c r="AR237" i="3"/>
  <c r="AR238" i="3"/>
  <c r="AR327" i="3"/>
  <c r="AR328" i="3"/>
  <c r="AR256" i="3"/>
  <c r="AR255" i="3"/>
  <c r="AR345" i="3"/>
  <c r="AR346" i="3"/>
  <c r="AR347" i="3" s="1"/>
  <c r="AR364" i="3"/>
  <c r="AR363" i="3"/>
  <c r="T9" i="3" a="1"/>
  <c r="T9" i="3" s="1"/>
  <c r="T6" i="3"/>
  <c r="T11" i="3" s="1"/>
  <c r="T8" i="3"/>
  <c r="S13" i="3"/>
  <c r="S3" i="3" s="1"/>
  <c r="Z22" i="2" s="1"/>
  <c r="Z14" i="6" s="1"/>
  <c r="AY18" i="4"/>
  <c r="AY29" i="6" s="1"/>
  <c r="AY16" i="4"/>
  <c r="AY27" i="6" s="1"/>
  <c r="BK7" i="2"/>
  <c r="AX15" i="7"/>
  <c r="AY22" i="5"/>
  <c r="AY27" i="4" s="1"/>
  <c r="AY34" i="6" s="1"/>
  <c r="AZ25" i="5"/>
  <c r="AY16" i="7"/>
  <c r="AY28" i="4"/>
  <c r="AY35" i="6" s="1"/>
  <c r="AZ29" i="5"/>
  <c r="AY18" i="7"/>
  <c r="AZ5" i="2"/>
  <c r="AY5" i="4"/>
  <c r="AY8" i="2"/>
  <c r="AY197" i="3" l="1"/>
  <c r="AQ165" i="3"/>
  <c r="AX200" i="3"/>
  <c r="AQ166" i="3"/>
  <c r="AY195" i="3"/>
  <c r="AY203" i="3" s="1"/>
  <c r="AB55" i="3"/>
  <c r="AB56" i="3"/>
  <c r="AB59" i="3"/>
  <c r="BF260" i="3"/>
  <c r="BF262" i="3" s="1"/>
  <c r="BG259" i="3" s="1"/>
  <c r="BG258" i="3" s="1"/>
  <c r="BG266" i="3" s="1"/>
  <c r="AZ230" i="3"/>
  <c r="AZ227" i="3"/>
  <c r="AZ226" i="3"/>
  <c r="BA223" i="3" s="1"/>
  <c r="BI303" i="3"/>
  <c r="BI311" i="3" s="1"/>
  <c r="BI305" i="3"/>
  <c r="BI307" i="3" s="1"/>
  <c r="BJ304" i="3" s="1"/>
  <c r="BF258" i="3"/>
  <c r="BF266" i="3" s="1"/>
  <c r="AY17" i="7"/>
  <c r="AZ28" i="5"/>
  <c r="BE267" i="3"/>
  <c r="BE275" i="3" s="1"/>
  <c r="BE269" i="3"/>
  <c r="BE270" i="3" a="1"/>
  <c r="BE270" i="3" s="1"/>
  <c r="AL99" i="3" a="1"/>
  <c r="AL99" i="3" s="1"/>
  <c r="AL98" i="3"/>
  <c r="AL96" i="3"/>
  <c r="AY17" i="4"/>
  <c r="AY28" i="6" s="1"/>
  <c r="AY31" i="6" s="1"/>
  <c r="AY13" i="6"/>
  <c r="AY6" i="4"/>
  <c r="AY21" i="6" s="1"/>
  <c r="AV191" i="3"/>
  <c r="AZ19" i="2"/>
  <c r="BC6" i="2"/>
  <c r="BC13" i="2" s="1"/>
  <c r="AV190" i="3"/>
  <c r="AW187" i="3" s="1"/>
  <c r="AS162" i="3" a="1"/>
  <c r="AS162" i="3" s="1"/>
  <c r="BK326" i="3"/>
  <c r="AV177" i="3"/>
  <c r="AV185" i="3" s="1"/>
  <c r="AV179" i="3"/>
  <c r="AV180" i="3" a="1"/>
  <c r="AV180" i="3" s="1"/>
  <c r="BH298" i="3"/>
  <c r="BI295" i="3" s="1"/>
  <c r="BH302" i="3"/>
  <c r="BH299" i="3"/>
  <c r="AH92" i="3"/>
  <c r="AH93" i="3" s="1"/>
  <c r="AH95" i="3"/>
  <c r="AH91" i="3"/>
  <c r="AS167" i="3"/>
  <c r="AS164" i="3"/>
  <c r="AY199" i="3"/>
  <c r="AZ196" i="3" s="1"/>
  <c r="AZ198" i="3" s="1" a="1"/>
  <c r="AZ198" i="3" s="1"/>
  <c r="AS161" i="3"/>
  <c r="AM122" i="3"/>
  <c r="AM119" i="3"/>
  <c r="AM121" i="3" s="1"/>
  <c r="AZ209" i="3"/>
  <c r="AX221" i="3"/>
  <c r="AX218" i="3"/>
  <c r="W19" i="3"/>
  <c r="X16" i="3" s="1"/>
  <c r="X18" i="3" s="1" a="1"/>
  <c r="X18" i="3" s="1"/>
  <c r="AY200" i="3"/>
  <c r="BE281" i="3"/>
  <c r="BI290" i="3"/>
  <c r="T14" i="3"/>
  <c r="T4" i="3" s="1"/>
  <c r="T12" i="3"/>
  <c r="T2" i="3" s="1"/>
  <c r="AR166" i="3"/>
  <c r="AE68" i="3"/>
  <c r="AE65" i="3"/>
  <c r="AE66" i="3" s="1"/>
  <c r="BJ320" i="3"/>
  <c r="BJ317" i="3"/>
  <c r="AZ236" i="3"/>
  <c r="BD254" i="3"/>
  <c r="AR372" i="3"/>
  <c r="AS371" i="3"/>
  <c r="AT371" i="3" s="1"/>
  <c r="AU371" i="3" s="1"/>
  <c r="AV371" i="3" s="1"/>
  <c r="AW371" i="3" s="1"/>
  <c r="AX371" i="3" s="1"/>
  <c r="AY371" i="3" s="1"/>
  <c r="AZ371" i="3" s="1"/>
  <c r="BA371" i="3" s="1"/>
  <c r="BB371" i="3" s="1"/>
  <c r="BC371" i="3" s="1"/>
  <c r="BD371" i="3" s="1"/>
  <c r="BE371" i="3" s="1"/>
  <c r="BF371" i="3" s="1"/>
  <c r="BG371" i="3" s="1"/>
  <c r="BH371" i="3" s="1"/>
  <c r="BI371" i="3" s="1"/>
  <c r="BJ371" i="3" s="1"/>
  <c r="BK371" i="3" s="1"/>
  <c r="W20" i="3"/>
  <c r="W23" i="3"/>
  <c r="BE243" i="3" a="1"/>
  <c r="BE243" i="3" s="1"/>
  <c r="BE244" i="3" s="1"/>
  <c r="BF241" i="3" s="1"/>
  <c r="BE240" i="3"/>
  <c r="BE248" i="3" s="1"/>
  <c r="Z46" i="3"/>
  <c r="AA43" i="3" s="1"/>
  <c r="AA45" i="3" s="1" a="1"/>
  <c r="AA45" i="3" s="1"/>
  <c r="AS171" i="3" a="1"/>
  <c r="AS171" i="3" s="1"/>
  <c r="AS172" i="3" s="1"/>
  <c r="AS168" i="3"/>
  <c r="AS176" i="3" s="1"/>
  <c r="AR175" i="3"/>
  <c r="Y35" i="3"/>
  <c r="Y33" i="3"/>
  <c r="Y38" i="3" s="1"/>
  <c r="Y36" i="3" a="1"/>
  <c r="Y36" i="3" s="1"/>
  <c r="AV150" i="3"/>
  <c r="AV158" i="3" s="1"/>
  <c r="AV152" i="3"/>
  <c r="AV153" i="3" a="1"/>
  <c r="AV153" i="3" s="1"/>
  <c r="AN127" i="3"/>
  <c r="AO124" i="3" s="1"/>
  <c r="AO125" i="3" s="1"/>
  <c r="AN131" i="3"/>
  <c r="BE249" i="3"/>
  <c r="BE257" i="3" s="1"/>
  <c r="BE252" i="3" a="1"/>
  <c r="BE252" i="3" s="1"/>
  <c r="BE251" i="3"/>
  <c r="BF278" i="3"/>
  <c r="BF276" i="3"/>
  <c r="BF284" i="3" s="1"/>
  <c r="BF279" i="3" a="1"/>
  <c r="BF279" i="3" s="1"/>
  <c r="BK314" i="3"/>
  <c r="BK315" i="3" a="1"/>
  <c r="BK315" i="3" s="1"/>
  <c r="BK312" i="3"/>
  <c r="BK320" i="3" s="1"/>
  <c r="BJ287" i="3"/>
  <c r="BJ288" i="3" a="1"/>
  <c r="BJ288" i="3" s="1"/>
  <c r="BJ285" i="3"/>
  <c r="BJ293" i="3" s="1"/>
  <c r="AI86" i="3"/>
  <c r="AR373" i="3"/>
  <c r="Y31" i="3"/>
  <c r="Z25" i="3"/>
  <c r="AE69" i="3"/>
  <c r="AE74" i="3" s="1"/>
  <c r="AE71" i="3"/>
  <c r="AE72" i="3" a="1"/>
  <c r="AE72" i="3" s="1"/>
  <c r="Z50" i="3"/>
  <c r="AE64" i="3"/>
  <c r="Y30" i="3"/>
  <c r="AQ143" i="3"/>
  <c r="AQ141" i="3"/>
  <c r="AQ146" i="3" s="1"/>
  <c r="AQ144" i="3" a="1"/>
  <c r="AQ144" i="3" s="1"/>
  <c r="AL113" i="3"/>
  <c r="AQ132" i="3"/>
  <c r="AQ137" i="3" s="1"/>
  <c r="AQ134" i="3"/>
  <c r="AQ135" i="3" a="1"/>
  <c r="AQ135" i="3" s="1"/>
  <c r="AZ208" i="3"/>
  <c r="BA205" i="3" s="1"/>
  <c r="AZ235" i="3"/>
  <c r="BA232" i="3" s="1"/>
  <c r="AL109" i="3"/>
  <c r="AN115" i="3"/>
  <c r="AX217" i="3"/>
  <c r="AY214" i="3" s="1"/>
  <c r="AI82" i="3"/>
  <c r="AS380" i="3" a="1"/>
  <c r="AS380" i="3" s="1"/>
  <c r="AS345" i="3"/>
  <c r="AS346" i="3"/>
  <c r="AS228" i="3"/>
  <c r="AS229" i="3"/>
  <c r="AS319" i="3"/>
  <c r="AS318" i="3"/>
  <c r="AS201" i="3"/>
  <c r="AS202" i="3"/>
  <c r="AS183" i="3"/>
  <c r="AS184" i="3"/>
  <c r="AS300" i="3"/>
  <c r="AS301" i="3"/>
  <c r="AS337" i="3"/>
  <c r="AS336" i="3"/>
  <c r="AS255" i="3"/>
  <c r="AS256" i="3"/>
  <c r="AS282" i="3"/>
  <c r="AS283" i="3"/>
  <c r="AS156" i="3"/>
  <c r="AS157" i="3"/>
  <c r="AS237" i="3"/>
  <c r="AS238" i="3"/>
  <c r="AS291" i="3"/>
  <c r="AS292" i="3"/>
  <c r="AS310" i="3"/>
  <c r="AS309" i="3"/>
  <c r="AS274" i="3"/>
  <c r="AS273" i="3"/>
  <c r="AS210" i="3"/>
  <c r="AS211" i="3"/>
  <c r="AS219" i="3"/>
  <c r="AS220" i="3"/>
  <c r="AS363" i="3"/>
  <c r="AS364" i="3"/>
  <c r="AS192" i="3"/>
  <c r="AS193" i="3"/>
  <c r="AS354" i="3"/>
  <c r="AS355" i="3"/>
  <c r="AS327" i="3"/>
  <c r="AS328" i="3"/>
  <c r="AS329" i="3" s="1"/>
  <c r="AS264" i="3"/>
  <c r="AS265" i="3"/>
  <c r="AS246" i="3"/>
  <c r="AS247" i="3"/>
  <c r="T10" i="3"/>
  <c r="AZ18" i="4"/>
  <c r="AZ29" i="6" s="1"/>
  <c r="AZ16" i="4"/>
  <c r="AZ27" i="6" s="1"/>
  <c r="BA29" i="5"/>
  <c r="AZ18" i="7"/>
  <c r="BA25" i="5"/>
  <c r="AZ16" i="7"/>
  <c r="AZ28" i="4"/>
  <c r="AZ35" i="6" s="1"/>
  <c r="AY15" i="7"/>
  <c r="AZ22" i="5"/>
  <c r="AZ27" i="4" s="1"/>
  <c r="AZ34" i="6" s="1"/>
  <c r="BA5" i="2"/>
  <c r="AY20" i="6"/>
  <c r="AX21" i="6"/>
  <c r="BL7" i="2"/>
  <c r="AZ5" i="4"/>
  <c r="AZ20" i="6" s="1"/>
  <c r="AZ8" i="2"/>
  <c r="AC52" i="3" l="1"/>
  <c r="AB58" i="3"/>
  <c r="AB57" i="3"/>
  <c r="BI308" i="3"/>
  <c r="BF263" i="3"/>
  <c r="BG263" i="3" s="1"/>
  <c r="BA224" i="3"/>
  <c r="BA222" i="3"/>
  <c r="BA230" i="3" s="1"/>
  <c r="BA225" i="3" a="1"/>
  <c r="BA225" i="3" s="1"/>
  <c r="AS163" i="3"/>
  <c r="AT160" i="3" s="1"/>
  <c r="AT162" i="3" s="1" a="1"/>
  <c r="AT162" i="3" s="1"/>
  <c r="BE271" i="3"/>
  <c r="BF268" i="3" s="1"/>
  <c r="AZ195" i="3"/>
  <c r="AZ203" i="3" s="1"/>
  <c r="AZ197" i="3"/>
  <c r="AZ199" i="3" s="1"/>
  <c r="BA196" i="3" s="1"/>
  <c r="BA197" i="3" s="1"/>
  <c r="AZ17" i="7"/>
  <c r="BA28" i="5"/>
  <c r="BE272" i="3"/>
  <c r="AL104" i="3"/>
  <c r="AL101" i="3"/>
  <c r="AL102" i="3" s="1"/>
  <c r="AL100" i="3"/>
  <c r="AW188" i="3"/>
  <c r="AW189" i="3" a="1"/>
  <c r="AW189" i="3" s="1"/>
  <c r="AW186" i="3"/>
  <c r="AW194" i="3" s="1"/>
  <c r="AS372" i="3"/>
  <c r="AS165" i="3"/>
  <c r="AZ13" i="6"/>
  <c r="AZ17" i="4"/>
  <c r="AZ28" i="6" s="1"/>
  <c r="AZ31" i="6" s="1"/>
  <c r="AZ6" i="4"/>
  <c r="BA19" i="2"/>
  <c r="BD6" i="2"/>
  <c r="BD13" i="2" s="1"/>
  <c r="AV181" i="3"/>
  <c r="AW178" i="3" s="1"/>
  <c r="AV182" i="3"/>
  <c r="AS373" i="3"/>
  <c r="BJ290" i="3"/>
  <c r="W22" i="3"/>
  <c r="BK317" i="3"/>
  <c r="X17" i="3"/>
  <c r="X19" i="3" s="1"/>
  <c r="Y16" i="3" s="1"/>
  <c r="Y15" i="3" s="1"/>
  <c r="Y23" i="3" s="1"/>
  <c r="BE245" i="3"/>
  <c r="W21" i="3"/>
  <c r="AH94" i="3"/>
  <c r="AI88" i="3"/>
  <c r="BI294" i="3"/>
  <c r="BI302" i="3" s="1"/>
  <c r="BI297" i="3" a="1"/>
  <c r="BI297" i="3" s="1"/>
  <c r="BI296" i="3"/>
  <c r="AS381" i="3"/>
  <c r="AT380" i="3"/>
  <c r="AU380" i="3" s="1"/>
  <c r="AV380" i="3" s="1"/>
  <c r="AW380" i="3" s="1"/>
  <c r="AX380" i="3" s="1"/>
  <c r="AY380" i="3" s="1"/>
  <c r="AZ380" i="3" s="1"/>
  <c r="BA380" i="3" s="1"/>
  <c r="BB380" i="3" s="1"/>
  <c r="BC380" i="3" s="1"/>
  <c r="BD380" i="3" s="1"/>
  <c r="BE380" i="3" s="1"/>
  <c r="BF380" i="3" s="1"/>
  <c r="BG380" i="3" s="1"/>
  <c r="BH380" i="3" s="1"/>
  <c r="BI380" i="3" s="1"/>
  <c r="BJ380" i="3" s="1"/>
  <c r="BK380" i="3" s="1"/>
  <c r="BF281" i="3"/>
  <c r="AM120" i="3"/>
  <c r="BG260" i="3"/>
  <c r="BG261" i="3" a="1"/>
  <c r="BG261" i="3" s="1"/>
  <c r="BE254" i="3"/>
  <c r="X15" i="3"/>
  <c r="X20" i="3" s="1"/>
  <c r="T5" i="3"/>
  <c r="AS173" i="3"/>
  <c r="AV155" i="3"/>
  <c r="BE253" i="3"/>
  <c r="BF250" i="3" s="1"/>
  <c r="BF252" i="3" s="1" a="1"/>
  <c r="BF252" i="3" s="1"/>
  <c r="AA44" i="3"/>
  <c r="AA46" i="3" s="1"/>
  <c r="AB43" i="3" s="1"/>
  <c r="AB45" i="3" s="1" a="1"/>
  <c r="AB45" i="3" s="1"/>
  <c r="AA42" i="3"/>
  <c r="AO123" i="3"/>
  <c r="Z48" i="3"/>
  <c r="AN130" i="3"/>
  <c r="AS382" i="3"/>
  <c r="AO126" i="3" a="1"/>
  <c r="AO126" i="3" s="1"/>
  <c r="AO127" i="3" s="1"/>
  <c r="AE73" i="3"/>
  <c r="AF70" i="3" s="1"/>
  <c r="AF69" i="3" s="1"/>
  <c r="AF77" i="3" s="1"/>
  <c r="AT169" i="3"/>
  <c r="AV154" i="3"/>
  <c r="AW151" i="3" s="1"/>
  <c r="Y41" i="3"/>
  <c r="Y37" i="3"/>
  <c r="BK316" i="3"/>
  <c r="AN129" i="3"/>
  <c r="AI85" i="3"/>
  <c r="AJ79" i="3"/>
  <c r="AE67" i="3"/>
  <c r="AF61" i="3"/>
  <c r="AY216" i="3" a="1"/>
  <c r="AY216" i="3" s="1"/>
  <c r="AY215" i="3"/>
  <c r="AY213" i="3"/>
  <c r="AY221" i="3" s="1"/>
  <c r="AL112" i="3"/>
  <c r="AM106" i="3"/>
  <c r="BA207" i="3" a="1"/>
  <c r="BA207" i="3" s="1"/>
  <c r="BA206" i="3"/>
  <c r="BA204" i="3"/>
  <c r="BA212" i="3" s="1"/>
  <c r="AQ149" i="3"/>
  <c r="AE77" i="3"/>
  <c r="BJ305" i="3"/>
  <c r="BJ303" i="3"/>
  <c r="BJ311" i="3" s="1"/>
  <c r="BJ306" i="3" a="1"/>
  <c r="BJ306" i="3" s="1"/>
  <c r="AI84" i="3"/>
  <c r="AQ145" i="3"/>
  <c r="BJ289" i="3"/>
  <c r="BK286" i="3" s="1"/>
  <c r="BF280" i="3"/>
  <c r="BG277" i="3" s="1"/>
  <c r="AN116" i="3"/>
  <c r="AN117" i="3" a="1"/>
  <c r="AN117" i="3" s="1"/>
  <c r="AN114" i="3"/>
  <c r="AN119" i="3" s="1"/>
  <c r="BA233" i="3"/>
  <c r="BA231" i="3"/>
  <c r="BA239" i="3" s="1"/>
  <c r="BA234" i="3" a="1"/>
  <c r="BA234" i="3" s="1"/>
  <c r="Z49" i="3"/>
  <c r="Z24" i="3"/>
  <c r="Z29" i="3" s="1"/>
  <c r="Z26" i="3"/>
  <c r="Z27" i="3" a="1"/>
  <c r="Z27" i="3" s="1"/>
  <c r="BF242" i="3"/>
  <c r="BF240" i="3"/>
  <c r="BF248" i="3" s="1"/>
  <c r="BF243" i="3" a="1"/>
  <c r="BF243" i="3" s="1"/>
  <c r="AL111" i="3"/>
  <c r="AQ136" i="3"/>
  <c r="AQ140" i="3"/>
  <c r="AT389" i="3" a="1"/>
  <c r="AT389" i="3" s="1"/>
  <c r="AS356" i="3"/>
  <c r="AT363" i="3"/>
  <c r="AT364" i="3"/>
  <c r="AT365" i="3" s="1"/>
  <c r="AT273" i="3"/>
  <c r="AT274" i="3"/>
  <c r="AT256" i="3"/>
  <c r="AT255" i="3"/>
  <c r="AT228" i="3"/>
  <c r="AT229" i="3"/>
  <c r="AT192" i="3"/>
  <c r="AT193" i="3"/>
  <c r="AT345" i="3"/>
  <c r="AT346" i="3"/>
  <c r="AT264" i="3"/>
  <c r="AT265" i="3"/>
  <c r="AT156" i="3"/>
  <c r="AT157" i="3"/>
  <c r="AT183" i="3"/>
  <c r="AT184" i="3"/>
  <c r="AT310" i="3"/>
  <c r="AT309" i="3"/>
  <c r="AT301" i="3"/>
  <c r="AT300" i="3"/>
  <c r="AT319" i="3"/>
  <c r="AT318" i="3"/>
  <c r="AT247" i="3"/>
  <c r="AT246" i="3"/>
  <c r="AT355" i="3"/>
  <c r="AT354" i="3"/>
  <c r="AT219" i="3"/>
  <c r="AT220" i="3"/>
  <c r="AT237" i="3"/>
  <c r="AT238" i="3"/>
  <c r="AT211" i="3"/>
  <c r="AT210" i="3"/>
  <c r="AT327" i="3"/>
  <c r="AT328" i="3"/>
  <c r="AT282" i="3"/>
  <c r="AT283" i="3"/>
  <c r="AT336" i="3"/>
  <c r="AT337" i="3"/>
  <c r="AT338" i="3" s="1"/>
  <c r="AT372" i="3"/>
  <c r="AT373" i="3"/>
  <c r="AT291" i="3"/>
  <c r="AT292" i="3"/>
  <c r="AT201" i="3"/>
  <c r="AT202" i="3"/>
  <c r="T13" i="3"/>
  <c r="T3" i="3" s="1"/>
  <c r="AA22" i="2" s="1"/>
  <c r="AA14" i="6" s="1"/>
  <c r="U7" i="3"/>
  <c r="BA18" i="4"/>
  <c r="BA29" i="6" s="1"/>
  <c r="BA16" i="4"/>
  <c r="BA27" i="6" s="1"/>
  <c r="BB25" i="5"/>
  <c r="BA16" i="7"/>
  <c r="BA28" i="4"/>
  <c r="BA35" i="6" s="1"/>
  <c r="BB29" i="5"/>
  <c r="BA18" i="7"/>
  <c r="AZ15" i="7"/>
  <c r="BA22" i="5"/>
  <c r="BB5" i="2"/>
  <c r="H45" i="10"/>
  <c r="BM7" i="2"/>
  <c r="BA5" i="4"/>
  <c r="BA8" i="2"/>
  <c r="BA227" i="3" l="1"/>
  <c r="AC54" i="3" a="1"/>
  <c r="AC54" i="3" s="1"/>
  <c r="AC51" i="3"/>
  <c r="AC53" i="3"/>
  <c r="BA226" i="3"/>
  <c r="BB223" i="3" s="1"/>
  <c r="BB224" i="3" s="1"/>
  <c r="AT159" i="3"/>
  <c r="AT167" i="3" s="1"/>
  <c r="AT161" i="3"/>
  <c r="AT163" i="3" s="1"/>
  <c r="AU160" i="3" s="1"/>
  <c r="AU162" i="3" s="1" a="1"/>
  <c r="AU162" i="3" s="1"/>
  <c r="AS166" i="3"/>
  <c r="AZ200" i="3"/>
  <c r="BA17" i="7"/>
  <c r="BB28" i="5"/>
  <c r="BG262" i="3"/>
  <c r="BH259" i="3" s="1"/>
  <c r="BH261" i="3" s="1" a="1"/>
  <c r="BH261" i="3" s="1"/>
  <c r="BF269" i="3"/>
  <c r="BF267" i="3"/>
  <c r="BF275" i="3" s="1"/>
  <c r="BF270" i="3" a="1"/>
  <c r="BF270" i="3" s="1"/>
  <c r="AM97" i="3"/>
  <c r="AL103" i="3"/>
  <c r="AT382" i="3"/>
  <c r="BA13" i="6"/>
  <c r="BA17" i="4"/>
  <c r="BA28" i="6" s="1"/>
  <c r="BA31" i="6" s="1"/>
  <c r="BA6" i="4"/>
  <c r="BA21" i="6" s="1"/>
  <c r="AT381" i="3"/>
  <c r="BB19" i="2"/>
  <c r="BE6" i="2"/>
  <c r="BE13" i="2" s="1"/>
  <c r="AW191" i="3"/>
  <c r="AW190" i="3"/>
  <c r="AX187" i="3" s="1"/>
  <c r="BF251" i="3"/>
  <c r="BF253" i="3" s="1"/>
  <c r="BG250" i="3" s="1"/>
  <c r="X23" i="3"/>
  <c r="AW177" i="3"/>
  <c r="AW179" i="3"/>
  <c r="AW180" i="3" a="1"/>
  <c r="AW180" i="3" s="1"/>
  <c r="Y17" i="3"/>
  <c r="Y18" i="3" a="1"/>
  <c r="Y18" i="3" s="1"/>
  <c r="BA209" i="3"/>
  <c r="BF249" i="3"/>
  <c r="BF257" i="3" s="1"/>
  <c r="AI89" i="3"/>
  <c r="AI87" i="3"/>
  <c r="AI90" i="3" a="1"/>
  <c r="AI90" i="3" s="1"/>
  <c r="BI299" i="3"/>
  <c r="BI298" i="3"/>
  <c r="BJ295" i="3" s="1"/>
  <c r="Y20" i="3"/>
  <c r="AO131" i="3"/>
  <c r="AO128" i="3"/>
  <c r="AO130" i="3" s="1"/>
  <c r="BJ308" i="3"/>
  <c r="AY218" i="3"/>
  <c r="AT390" i="3"/>
  <c r="AU389" i="3"/>
  <c r="AV389" i="3" s="1"/>
  <c r="AW389" i="3" s="1"/>
  <c r="AX389" i="3" s="1"/>
  <c r="AY389" i="3" s="1"/>
  <c r="AZ389" i="3" s="1"/>
  <c r="BA389" i="3" s="1"/>
  <c r="BB389" i="3" s="1"/>
  <c r="BC389" i="3" s="1"/>
  <c r="BD389" i="3" s="1"/>
  <c r="BE389" i="3" s="1"/>
  <c r="BF389" i="3" s="1"/>
  <c r="BG389" i="3" s="1"/>
  <c r="BH389" i="3" s="1"/>
  <c r="BI389" i="3" s="1"/>
  <c r="BJ389" i="3" s="1"/>
  <c r="BK389" i="3" s="1"/>
  <c r="BA236" i="3"/>
  <c r="AS175" i="3"/>
  <c r="X21" i="3"/>
  <c r="AS174" i="3"/>
  <c r="X22" i="3"/>
  <c r="AF74" i="3"/>
  <c r="BF245" i="3"/>
  <c r="AA50" i="3"/>
  <c r="AA47" i="3"/>
  <c r="AB42" i="3"/>
  <c r="AB50" i="3" s="1"/>
  <c r="BA198" i="3" a="1"/>
  <c r="BA198" i="3" s="1"/>
  <c r="BA199" i="3" s="1"/>
  <c r="BB196" i="3" s="1"/>
  <c r="BB198" i="3" s="1" a="1"/>
  <c r="BB198" i="3" s="1"/>
  <c r="BA195" i="3"/>
  <c r="BA203" i="3" s="1"/>
  <c r="AB44" i="3"/>
  <c r="AB46" i="3" s="1"/>
  <c r="AC43" i="3" s="1"/>
  <c r="AC42" i="3" s="1"/>
  <c r="AC50" i="3" s="1"/>
  <c r="AN118" i="3"/>
  <c r="AO115" i="3" s="1"/>
  <c r="AO117" i="3" s="1" a="1"/>
  <c r="AO117" i="3" s="1"/>
  <c r="AF72" i="3" a="1"/>
  <c r="AF72" i="3" s="1"/>
  <c r="AF71" i="3"/>
  <c r="AT391" i="3"/>
  <c r="AT170" i="3"/>
  <c r="AT168" i="3"/>
  <c r="AT173" i="3" s="1"/>
  <c r="AT171" i="3" a="1"/>
  <c r="AT171" i="3" s="1"/>
  <c r="Y40" i="3"/>
  <c r="Z34" i="3"/>
  <c r="BA208" i="3"/>
  <c r="BB205" i="3" s="1"/>
  <c r="BB207" i="3" s="1" a="1"/>
  <c r="BB207" i="3" s="1"/>
  <c r="AE75" i="3"/>
  <c r="Y39" i="3"/>
  <c r="AW152" i="3"/>
  <c r="AW153" i="3" a="1"/>
  <c r="AW153" i="3" s="1"/>
  <c r="AW150" i="3"/>
  <c r="AW158" i="3" s="1"/>
  <c r="BF244" i="3"/>
  <c r="BG241" i="3" s="1"/>
  <c r="BG242" i="3" s="1"/>
  <c r="BG278" i="3"/>
  <c r="BG276" i="3"/>
  <c r="BG284" i="3" s="1"/>
  <c r="BG279" i="3" a="1"/>
  <c r="BG279" i="3" s="1"/>
  <c r="BK288" i="3" a="1"/>
  <c r="BK288" i="3" s="1"/>
  <c r="BK287" i="3"/>
  <c r="BK285" i="3"/>
  <c r="AQ147" i="3"/>
  <c r="BA235" i="3"/>
  <c r="BB232" i="3" s="1"/>
  <c r="AP124" i="3"/>
  <c r="Z28" i="3"/>
  <c r="BJ307" i="3"/>
  <c r="BK304" i="3" s="1"/>
  <c r="AE76" i="3"/>
  <c r="AM108" i="3" a="1"/>
  <c r="AM108" i="3" s="1"/>
  <c r="AM105" i="3"/>
  <c r="AM110" i="3" s="1"/>
  <c r="AM107" i="3"/>
  <c r="AF60" i="3"/>
  <c r="AF65" i="3" s="1"/>
  <c r="AF63" i="3" a="1"/>
  <c r="AF63" i="3" s="1"/>
  <c r="AF62" i="3"/>
  <c r="Z32" i="3"/>
  <c r="AR142" i="3"/>
  <c r="AQ148" i="3"/>
  <c r="AQ139" i="3"/>
  <c r="AR133" i="3"/>
  <c r="AN122" i="3"/>
  <c r="AJ81" i="3" a="1"/>
  <c r="AJ81" i="3" s="1"/>
  <c r="AJ78" i="3"/>
  <c r="AJ83" i="3" s="1"/>
  <c r="AJ80" i="3"/>
  <c r="AQ138" i="3"/>
  <c r="AN120" i="3"/>
  <c r="AY217" i="3"/>
  <c r="AZ214" i="3" s="1"/>
  <c r="AU398" i="3" a="1"/>
  <c r="AU398" i="3" s="1"/>
  <c r="AU327" i="3"/>
  <c r="AU328" i="3"/>
  <c r="AU246" i="3"/>
  <c r="AU247" i="3"/>
  <c r="AU300" i="3"/>
  <c r="AU301" i="3"/>
  <c r="AU183" i="3"/>
  <c r="AU184" i="3"/>
  <c r="AU192" i="3"/>
  <c r="AU193" i="3"/>
  <c r="AU381" i="3"/>
  <c r="AU382" i="3"/>
  <c r="AU291" i="3"/>
  <c r="AU292" i="3"/>
  <c r="AU210" i="3"/>
  <c r="AU211" i="3"/>
  <c r="AU156" i="3"/>
  <c r="AU157" i="3"/>
  <c r="AU373" i="3"/>
  <c r="AU374" i="3" s="1"/>
  <c r="AU372" i="3"/>
  <c r="AU238" i="3"/>
  <c r="AU237" i="3"/>
  <c r="AU346" i="3"/>
  <c r="AU347" i="3" s="1"/>
  <c r="AU345" i="3"/>
  <c r="AU255" i="3"/>
  <c r="AU256" i="3"/>
  <c r="AU202" i="3"/>
  <c r="AU201" i="3"/>
  <c r="AU283" i="3"/>
  <c r="AU282" i="3"/>
  <c r="AU354" i="3"/>
  <c r="AU355" i="3"/>
  <c r="AU318" i="3"/>
  <c r="AU319" i="3"/>
  <c r="AU363" i="3"/>
  <c r="AU364" i="3"/>
  <c r="AU264" i="3"/>
  <c r="AU265" i="3"/>
  <c r="AU229" i="3"/>
  <c r="AU228" i="3"/>
  <c r="AU336" i="3"/>
  <c r="AU337" i="3"/>
  <c r="AU220" i="3"/>
  <c r="AU219" i="3"/>
  <c r="AU310" i="3"/>
  <c r="AU309" i="3"/>
  <c r="AU274" i="3"/>
  <c r="AU273" i="3"/>
  <c r="U8" i="3"/>
  <c r="U6" i="3"/>
  <c r="U11" i="3" s="1"/>
  <c r="U9" i="3" a="1"/>
  <c r="U9" i="3" s="1"/>
  <c r="BB18" i="4"/>
  <c r="BB29" i="6" s="1"/>
  <c r="BB16" i="4"/>
  <c r="BB27" i="6" s="1"/>
  <c r="BA15" i="7"/>
  <c r="BB22" i="5"/>
  <c r="BB27" i="4" s="1"/>
  <c r="BB34" i="6" s="1"/>
  <c r="BC29" i="5"/>
  <c r="BB18" i="7"/>
  <c r="BA27" i="4"/>
  <c r="BA34" i="6" s="1"/>
  <c r="BC25" i="5"/>
  <c r="BB16" i="7"/>
  <c r="BB28" i="4"/>
  <c r="BB35" i="6" s="1"/>
  <c r="BC5" i="2"/>
  <c r="H48" i="10"/>
  <c r="H47" i="10"/>
  <c r="BA20" i="6"/>
  <c r="AZ21" i="6"/>
  <c r="BN7" i="2"/>
  <c r="BB5" i="4"/>
  <c r="BB20" i="6" s="1"/>
  <c r="BB8" i="2"/>
  <c r="AC55" i="3" l="1"/>
  <c r="AD52" i="3" s="1"/>
  <c r="AD51" i="3" s="1"/>
  <c r="AT164" i="3"/>
  <c r="AT165" i="3" s="1"/>
  <c r="BB222" i="3"/>
  <c r="BB230" i="3" s="1"/>
  <c r="AC59" i="3"/>
  <c r="AC56" i="3"/>
  <c r="AC57" i="3" s="1"/>
  <c r="BB225" i="3" a="1"/>
  <c r="BB225" i="3" s="1"/>
  <c r="BB226" i="3" s="1"/>
  <c r="BC223" i="3" s="1"/>
  <c r="BH258" i="3"/>
  <c r="BH266" i="3" s="1"/>
  <c r="BF271" i="3"/>
  <c r="BG268" i="3" s="1"/>
  <c r="BG270" i="3" s="1" a="1"/>
  <c r="BG270" i="3" s="1"/>
  <c r="BH260" i="3"/>
  <c r="BH262" i="3" s="1"/>
  <c r="BI259" i="3" s="1"/>
  <c r="AN121" i="3"/>
  <c r="Y19" i="3"/>
  <c r="Y22" i="3" s="1"/>
  <c r="BB17" i="7"/>
  <c r="BC28" i="5"/>
  <c r="AF75" i="3"/>
  <c r="BF272" i="3"/>
  <c r="AF73" i="3"/>
  <c r="AG70" i="3" s="1"/>
  <c r="AM99" i="3" a="1"/>
  <c r="AM99" i="3" s="1"/>
  <c r="AM98" i="3"/>
  <c r="AM96" i="3"/>
  <c r="BB13" i="6"/>
  <c r="BB17" i="4"/>
  <c r="BB28" i="6" s="1"/>
  <c r="BB31" i="6" s="1"/>
  <c r="BB6" i="4"/>
  <c r="BB21" i="6" s="1"/>
  <c r="BC19" i="2"/>
  <c r="BF6" i="2"/>
  <c r="BF13" i="2" s="1"/>
  <c r="AX186" i="3"/>
  <c r="AX194" i="3" s="1"/>
  <c r="AX189" i="3" a="1"/>
  <c r="AX189" i="3" s="1"/>
  <c r="AX188" i="3"/>
  <c r="AO129" i="3"/>
  <c r="AU391" i="3"/>
  <c r="AU390" i="3"/>
  <c r="AW181" i="3"/>
  <c r="AX178" i="3" s="1"/>
  <c r="Y21" i="3"/>
  <c r="AW185" i="3"/>
  <c r="AW182" i="3"/>
  <c r="BF254" i="3"/>
  <c r="AW155" i="3"/>
  <c r="AI92" i="3"/>
  <c r="AI93" i="3" s="1"/>
  <c r="AI95" i="3"/>
  <c r="AU159" i="3"/>
  <c r="AU161" i="3"/>
  <c r="AU163" i="3" s="1"/>
  <c r="AV160" i="3" s="1"/>
  <c r="AV159" i="3" s="1"/>
  <c r="AV167" i="3" s="1"/>
  <c r="BJ294" i="3"/>
  <c r="BJ302" i="3" s="1"/>
  <c r="BJ296" i="3"/>
  <c r="BJ297" i="3" a="1"/>
  <c r="BJ297" i="3" s="1"/>
  <c r="AI91" i="3"/>
  <c r="BG243" i="3" a="1"/>
  <c r="BG243" i="3" s="1"/>
  <c r="BG244" i="3" s="1"/>
  <c r="BH241" i="3" s="1"/>
  <c r="BA200" i="3"/>
  <c r="BH263" i="3"/>
  <c r="AU399" i="3"/>
  <c r="AV398" i="3"/>
  <c r="AW398" i="3" s="1"/>
  <c r="AX398" i="3" s="1"/>
  <c r="AY398" i="3" s="1"/>
  <c r="AZ398" i="3" s="1"/>
  <c r="BA398" i="3" s="1"/>
  <c r="BB398" i="3" s="1"/>
  <c r="BC398" i="3" s="1"/>
  <c r="BD398" i="3" s="1"/>
  <c r="BE398" i="3" s="1"/>
  <c r="BF398" i="3" s="1"/>
  <c r="BG398" i="3" s="1"/>
  <c r="BH398" i="3" s="1"/>
  <c r="BI398" i="3" s="1"/>
  <c r="BJ398" i="3" s="1"/>
  <c r="BK398" i="3" s="1"/>
  <c r="BB195" i="3"/>
  <c r="BB203" i="3" s="1"/>
  <c r="BB197" i="3"/>
  <c r="BB199" i="3" s="1"/>
  <c r="BC196" i="3" s="1"/>
  <c r="BK293" i="3"/>
  <c r="BK290" i="3"/>
  <c r="BG281" i="3"/>
  <c r="AB47" i="3"/>
  <c r="AB49" i="3" s="1"/>
  <c r="AA48" i="3"/>
  <c r="AA49" i="3"/>
  <c r="AC45" i="3" a="1"/>
  <c r="AC45" i="3" s="1"/>
  <c r="AC44" i="3"/>
  <c r="AO116" i="3"/>
  <c r="AO118" i="3" s="1"/>
  <c r="AP115" i="3" s="1"/>
  <c r="AP114" i="3" s="1"/>
  <c r="AP122" i="3" s="1"/>
  <c r="AO114" i="3"/>
  <c r="BB204" i="3"/>
  <c r="AT176" i="3"/>
  <c r="AT174" i="3"/>
  <c r="BB206" i="3"/>
  <c r="BB208" i="3" s="1"/>
  <c r="BC205" i="3" s="1"/>
  <c r="AT172" i="3"/>
  <c r="BG240" i="3"/>
  <c r="BG248" i="3" s="1"/>
  <c r="AW154" i="3"/>
  <c r="AX151" i="3" s="1"/>
  <c r="Z35" i="3"/>
  <c r="Z33" i="3"/>
  <c r="Z38" i="3" s="1"/>
  <c r="Z36" i="3" a="1"/>
  <c r="Z36" i="3" s="1"/>
  <c r="AJ82" i="3"/>
  <c r="AK79" i="3" s="1"/>
  <c r="AZ215" i="3"/>
  <c r="AZ216" i="3" a="1"/>
  <c r="AZ216" i="3" s="1"/>
  <c r="AZ213" i="3"/>
  <c r="AZ221" i="3" s="1"/>
  <c r="AJ86" i="3"/>
  <c r="AR134" i="3"/>
  <c r="AR132" i="3"/>
  <c r="AR137" i="3" s="1"/>
  <c r="AR135" i="3" a="1"/>
  <c r="AR135" i="3" s="1"/>
  <c r="AF68" i="3"/>
  <c r="Z31" i="3"/>
  <c r="AA25" i="3"/>
  <c r="BK289" i="3"/>
  <c r="BG280" i="3"/>
  <c r="BH277" i="3" s="1"/>
  <c r="AM109" i="3"/>
  <c r="AM113" i="3"/>
  <c r="BG249" i="3"/>
  <c r="BG257" i="3" s="1"/>
  <c r="BG252" i="3" a="1"/>
  <c r="BG252" i="3" s="1"/>
  <c r="BG251" i="3"/>
  <c r="AM111" i="3"/>
  <c r="AU400" i="3"/>
  <c r="AR143" i="3"/>
  <c r="AR144" i="3" a="1"/>
  <c r="AR144" i="3" s="1"/>
  <c r="AR141" i="3"/>
  <c r="AR146" i="3" s="1"/>
  <c r="BB233" i="3"/>
  <c r="BB231" i="3"/>
  <c r="BB239" i="3" s="1"/>
  <c r="BB234" i="3" a="1"/>
  <c r="BB234" i="3" s="1"/>
  <c r="AF64" i="3"/>
  <c r="BK306" i="3" a="1"/>
  <c r="BK306" i="3" s="1"/>
  <c r="BK303" i="3"/>
  <c r="BK311" i="3" s="1"/>
  <c r="BK305" i="3"/>
  <c r="AP123" i="3"/>
  <c r="AP128" i="3" s="1"/>
  <c r="AP126" i="3" a="1"/>
  <c r="AP126" i="3" s="1"/>
  <c r="AP125" i="3"/>
  <c r="Z30" i="3"/>
  <c r="AV407" i="3" a="1"/>
  <c r="AV407" i="3" s="1"/>
  <c r="AV346" i="3"/>
  <c r="AV345" i="3"/>
  <c r="AV292" i="3"/>
  <c r="AV291" i="3"/>
  <c r="AV301" i="3"/>
  <c r="AV300" i="3"/>
  <c r="AV202" i="3"/>
  <c r="AV201" i="3"/>
  <c r="AV265" i="3"/>
  <c r="AV264" i="3"/>
  <c r="AV354" i="3"/>
  <c r="AV355" i="3"/>
  <c r="AV356" i="3" s="1"/>
  <c r="AV372" i="3"/>
  <c r="AV373" i="3"/>
  <c r="AV381" i="3"/>
  <c r="AV382" i="3"/>
  <c r="AV383" i="3" s="1"/>
  <c r="AV211" i="3"/>
  <c r="AV210" i="3"/>
  <c r="AV192" i="3"/>
  <c r="AV193" i="3"/>
  <c r="AV336" i="3"/>
  <c r="AV337" i="3"/>
  <c r="AV390" i="3"/>
  <c r="AV391" i="3"/>
  <c r="AV247" i="3"/>
  <c r="AV246" i="3"/>
  <c r="AV156" i="3"/>
  <c r="AV157" i="3"/>
  <c r="AV283" i="3"/>
  <c r="AV282" i="3"/>
  <c r="AV328" i="3"/>
  <c r="AV327" i="3"/>
  <c r="AV363" i="3"/>
  <c r="AV364" i="3"/>
  <c r="AV255" i="3"/>
  <c r="AV256" i="3"/>
  <c r="AV183" i="3"/>
  <c r="AV184" i="3"/>
  <c r="AV220" i="3"/>
  <c r="AV219" i="3"/>
  <c r="AV273" i="3"/>
  <c r="AV274" i="3"/>
  <c r="AV309" i="3"/>
  <c r="AV310" i="3"/>
  <c r="AV228" i="3"/>
  <c r="AV229" i="3"/>
  <c r="AV318" i="3"/>
  <c r="AV319" i="3"/>
  <c r="AV237" i="3"/>
  <c r="AV238" i="3"/>
  <c r="U14" i="3"/>
  <c r="U4" i="3" s="1"/>
  <c r="U5" i="3"/>
  <c r="U10" i="3"/>
  <c r="BC18" i="4"/>
  <c r="BC29" i="6" s="1"/>
  <c r="BC16" i="4"/>
  <c r="BC27" i="6" s="1"/>
  <c r="BD29" i="5"/>
  <c r="BC18" i="7"/>
  <c r="BD25" i="5"/>
  <c r="BC16" i="7"/>
  <c r="BC28" i="4"/>
  <c r="BC35" i="6" s="1"/>
  <c r="BB15" i="7"/>
  <c r="BC22" i="5"/>
  <c r="BD5" i="2"/>
  <c r="BO7" i="2"/>
  <c r="BC5" i="4"/>
  <c r="BC20" i="6" s="1"/>
  <c r="BC8" i="2"/>
  <c r="AD54" i="3" l="1" a="1"/>
  <c r="AD54" i="3" s="1"/>
  <c r="AD53" i="3"/>
  <c r="AT166" i="3"/>
  <c r="AC58" i="3"/>
  <c r="BB227" i="3"/>
  <c r="AD55" i="3"/>
  <c r="AD56" i="3"/>
  <c r="AD57" i="3" s="1"/>
  <c r="AD59" i="3"/>
  <c r="BG269" i="3"/>
  <c r="BG271" i="3" s="1"/>
  <c r="BH268" i="3" s="1"/>
  <c r="BI258" i="3"/>
  <c r="BI266" i="3" s="1"/>
  <c r="BI260" i="3"/>
  <c r="BG267" i="3"/>
  <c r="BG275" i="3" s="1"/>
  <c r="Z16" i="3"/>
  <c r="Z18" i="3" s="1" a="1"/>
  <c r="Z18" i="3" s="1"/>
  <c r="BC225" i="3" a="1"/>
  <c r="BC225" i="3" s="1"/>
  <c r="BC224" i="3"/>
  <c r="BC222" i="3"/>
  <c r="BC230" i="3" s="1"/>
  <c r="AF76" i="3"/>
  <c r="BI261" i="3" a="1"/>
  <c r="BI261" i="3" s="1"/>
  <c r="AP116" i="3"/>
  <c r="BC17" i="7"/>
  <c r="BD28" i="5"/>
  <c r="AP117" i="3" a="1"/>
  <c r="AP117" i="3" s="1"/>
  <c r="BB200" i="3"/>
  <c r="AM101" i="3"/>
  <c r="AM102" i="3" s="1"/>
  <c r="AM104" i="3"/>
  <c r="AM100" i="3"/>
  <c r="BC13" i="6"/>
  <c r="BC17" i="4"/>
  <c r="BC28" i="6" s="1"/>
  <c r="BC31" i="6" s="1"/>
  <c r="BC6" i="4"/>
  <c r="BC21" i="6" s="1"/>
  <c r="BD19" i="2"/>
  <c r="BG6" i="2"/>
  <c r="BG13" i="2" s="1"/>
  <c r="AX190" i="3"/>
  <c r="AY187" i="3" s="1"/>
  <c r="AX191" i="3"/>
  <c r="AV399" i="3"/>
  <c r="AX180" i="3" a="1"/>
  <c r="AX180" i="3" s="1"/>
  <c r="AX177" i="3"/>
  <c r="AX185" i="3" s="1"/>
  <c r="AX179" i="3"/>
  <c r="AV400" i="3"/>
  <c r="AV161" i="3"/>
  <c r="AV162" i="3" a="1"/>
  <c r="AV162" i="3" s="1"/>
  <c r="BJ298" i="3"/>
  <c r="BK295" i="3" s="1"/>
  <c r="AU167" i="3"/>
  <c r="AU164" i="3"/>
  <c r="AU166" i="3" s="1"/>
  <c r="BJ299" i="3"/>
  <c r="AI94" i="3"/>
  <c r="AJ88" i="3"/>
  <c r="AV408" i="3"/>
  <c r="AW407" i="3"/>
  <c r="AX407" i="3" s="1"/>
  <c r="AY407" i="3" s="1"/>
  <c r="AZ407" i="3" s="1"/>
  <c r="BA407" i="3" s="1"/>
  <c r="BB407" i="3" s="1"/>
  <c r="BC407" i="3" s="1"/>
  <c r="BD407" i="3" s="1"/>
  <c r="BE407" i="3" s="1"/>
  <c r="BF407" i="3" s="1"/>
  <c r="BG407" i="3" s="1"/>
  <c r="BH407" i="3" s="1"/>
  <c r="BI407" i="3" s="1"/>
  <c r="BJ407" i="3" s="1"/>
  <c r="BK407" i="3" s="1"/>
  <c r="AO122" i="3"/>
  <c r="AO119" i="3"/>
  <c r="BG245" i="3"/>
  <c r="BB236" i="3"/>
  <c r="BB212" i="3"/>
  <c r="BB209" i="3"/>
  <c r="BG254" i="3"/>
  <c r="AZ218" i="3"/>
  <c r="BK308" i="3"/>
  <c r="BI263" i="3"/>
  <c r="AC46" i="3"/>
  <c r="AD43" i="3" s="1"/>
  <c r="AC47" i="3"/>
  <c r="AB48" i="3"/>
  <c r="AW399" i="3"/>
  <c r="AU169" i="3"/>
  <c r="AT175" i="3"/>
  <c r="AP127" i="3"/>
  <c r="AQ124" i="3" s="1"/>
  <c r="AQ123" i="3" s="1"/>
  <c r="AQ131" i="3" s="1"/>
  <c r="AR145" i="3"/>
  <c r="AS142" i="3" s="1"/>
  <c r="AS141" i="3" s="1"/>
  <c r="AS149" i="3" s="1"/>
  <c r="Z41" i="3"/>
  <c r="Z37" i="3"/>
  <c r="BK307" i="3"/>
  <c r="AX152" i="3"/>
  <c r="AX150" i="3"/>
  <c r="AX153" i="3" a="1"/>
  <c r="AX153" i="3" s="1"/>
  <c r="BG253" i="3"/>
  <c r="BH250" i="3" s="1"/>
  <c r="BH249" i="3" s="1"/>
  <c r="BH257" i="3" s="1"/>
  <c r="BB235" i="3"/>
  <c r="BC232" i="3" s="1"/>
  <c r="BC234" i="3" s="1" a="1"/>
  <c r="BC234" i="3" s="1"/>
  <c r="AV409" i="3"/>
  <c r="AF67" i="3"/>
  <c r="AG61" i="3"/>
  <c r="BH279" i="3" a="1"/>
  <c r="BH279" i="3" s="1"/>
  <c r="BH278" i="3"/>
  <c r="BH276" i="3"/>
  <c r="BH284" i="3" s="1"/>
  <c r="BC197" i="3"/>
  <c r="BC195" i="3"/>
  <c r="BC203" i="3" s="1"/>
  <c r="BC198" i="3" a="1"/>
  <c r="BC198" i="3" s="1"/>
  <c r="AP131" i="3"/>
  <c r="AK80" i="3"/>
  <c r="AK78" i="3"/>
  <c r="AK81" i="3" a="1"/>
  <c r="AK81" i="3" s="1"/>
  <c r="AR149" i="3"/>
  <c r="BC207" i="3" a="1"/>
  <c r="BC207" i="3" s="1"/>
  <c r="BC206" i="3"/>
  <c r="BC204" i="3"/>
  <c r="BC212" i="3" s="1"/>
  <c r="AM112" i="3"/>
  <c r="AN106" i="3"/>
  <c r="AG69" i="3"/>
  <c r="AG74" i="3" s="1"/>
  <c r="AG71" i="3"/>
  <c r="AG72" i="3" a="1"/>
  <c r="AG72" i="3" s="1"/>
  <c r="AJ85" i="3"/>
  <c r="AA26" i="3"/>
  <c r="AA24" i="3"/>
  <c r="AA29" i="3" s="1"/>
  <c r="AA27" i="3" a="1"/>
  <c r="AA27" i="3" s="1"/>
  <c r="BH240" i="3"/>
  <c r="BH248" i="3" s="1"/>
  <c r="BH242" i="3"/>
  <c r="BH243" i="3" a="1"/>
  <c r="BH243" i="3" s="1"/>
  <c r="AR140" i="3"/>
  <c r="AZ217" i="3"/>
  <c r="BA214" i="3" s="1"/>
  <c r="AJ84" i="3"/>
  <c r="AR136" i="3"/>
  <c r="AF66" i="3"/>
  <c r="AW416" i="3" a="1"/>
  <c r="AW416" i="3" s="1"/>
  <c r="AX416" i="3" s="1"/>
  <c r="AY416" i="3" s="1"/>
  <c r="AZ416" i="3" s="1"/>
  <c r="BA416" i="3" s="1"/>
  <c r="BB416" i="3" s="1"/>
  <c r="BC416" i="3" s="1"/>
  <c r="BD416" i="3" s="1"/>
  <c r="BE416" i="3" s="1"/>
  <c r="BF416" i="3" s="1"/>
  <c r="BG416" i="3" s="1"/>
  <c r="BH416" i="3" s="1"/>
  <c r="BI416" i="3" s="1"/>
  <c r="BJ416" i="3" s="1"/>
  <c r="BK416" i="3" s="1"/>
  <c r="AW228" i="3"/>
  <c r="AW229" i="3"/>
  <c r="AW192" i="3"/>
  <c r="AW193" i="3"/>
  <c r="AW300" i="3"/>
  <c r="AW301" i="3"/>
  <c r="AW400" i="3"/>
  <c r="AW219" i="3"/>
  <c r="AW220" i="3"/>
  <c r="AW382" i="3"/>
  <c r="AW381" i="3"/>
  <c r="AW373" i="3"/>
  <c r="AW372" i="3"/>
  <c r="AW237" i="3"/>
  <c r="AW238" i="3"/>
  <c r="AW256" i="3"/>
  <c r="AW255" i="3"/>
  <c r="AW336" i="3"/>
  <c r="AW337" i="3"/>
  <c r="AW354" i="3"/>
  <c r="AW355" i="3"/>
  <c r="AW309" i="3"/>
  <c r="AW310" i="3"/>
  <c r="AW327" i="3"/>
  <c r="AW328" i="3"/>
  <c r="AW291" i="3"/>
  <c r="AW292" i="3"/>
  <c r="AW184" i="3"/>
  <c r="AW183" i="3"/>
  <c r="AW246" i="3"/>
  <c r="AW247" i="3"/>
  <c r="AW210" i="3"/>
  <c r="AW211" i="3"/>
  <c r="AW346" i="3"/>
  <c r="AW345" i="3"/>
  <c r="AW318" i="3"/>
  <c r="AW319" i="3"/>
  <c r="AW264" i="3"/>
  <c r="AW265" i="3"/>
  <c r="AW201" i="3"/>
  <c r="AW202" i="3"/>
  <c r="AW156" i="3"/>
  <c r="AW157" i="3"/>
  <c r="AW274" i="3"/>
  <c r="AW273" i="3"/>
  <c r="AW364" i="3"/>
  <c r="AW365" i="3" s="1"/>
  <c r="AW363" i="3"/>
  <c r="AW391" i="3"/>
  <c r="AW392" i="3" s="1"/>
  <c r="AW390" i="3"/>
  <c r="AW283" i="3"/>
  <c r="AW282" i="3"/>
  <c r="U13" i="3"/>
  <c r="U3" i="3" s="1"/>
  <c r="AB22" i="2" s="1"/>
  <c r="AB14" i="6" s="1"/>
  <c r="V7" i="3"/>
  <c r="U12" i="3"/>
  <c r="U2" i="3" s="1"/>
  <c r="BD16" i="4"/>
  <c r="BD27" i="6" s="1"/>
  <c r="BD18" i="4"/>
  <c r="BD29" i="6" s="1"/>
  <c r="H13" i="2"/>
  <c r="BC15" i="7"/>
  <c r="BD22" i="5"/>
  <c r="BD27" i="4" s="1"/>
  <c r="BD34" i="6" s="1"/>
  <c r="BE25" i="5"/>
  <c r="BD16" i="7"/>
  <c r="BD28" i="4"/>
  <c r="BD35" i="6" s="1"/>
  <c r="BC27" i="4"/>
  <c r="BC34" i="6" s="1"/>
  <c r="BE29" i="5"/>
  <c r="BD18" i="7"/>
  <c r="BE5" i="2"/>
  <c r="BD5" i="4"/>
  <c r="BD20" i="6" s="1"/>
  <c r="H6" i="2"/>
  <c r="BP7" i="2"/>
  <c r="BD8" i="2"/>
  <c r="Z15" i="3" l="1"/>
  <c r="AU8" i="1"/>
  <c r="N7" i="8"/>
  <c r="P7" i="8" s="1"/>
  <c r="BI262" i="3"/>
  <c r="BJ259" i="3" s="1"/>
  <c r="BJ260" i="3" s="1"/>
  <c r="Z17" i="3"/>
  <c r="BJ261" i="3" a="1"/>
  <c r="BJ261" i="3" s="1"/>
  <c r="AD58" i="3"/>
  <c r="AE52" i="3"/>
  <c r="AP118" i="3"/>
  <c r="AQ115" i="3" s="1"/>
  <c r="AQ116" i="3" s="1"/>
  <c r="BC226" i="3"/>
  <c r="BD223" i="3" s="1"/>
  <c r="BD224" i="3" s="1"/>
  <c r="BG272" i="3"/>
  <c r="BC227" i="3"/>
  <c r="BH269" i="3"/>
  <c r="BH270" i="3" a="1"/>
  <c r="BH270" i="3" s="1"/>
  <c r="BH267" i="3"/>
  <c r="BD17" i="7"/>
  <c r="BE28" i="5"/>
  <c r="AN97" i="3"/>
  <c r="AM103" i="3"/>
  <c r="AY189" i="3" a="1"/>
  <c r="AY189" i="3" s="1"/>
  <c r="AY188" i="3"/>
  <c r="AY186" i="3"/>
  <c r="AY194" i="3" s="1"/>
  <c r="BD13" i="6"/>
  <c r="BD17" i="4"/>
  <c r="BD28" i="6" s="1"/>
  <c r="BD31" i="6" s="1"/>
  <c r="BD6" i="4"/>
  <c r="BD21" i="6" s="1"/>
  <c r="BH6" i="2"/>
  <c r="BH13" i="2" s="1"/>
  <c r="BE19" i="2"/>
  <c r="AX181" i="3"/>
  <c r="AY178" i="3" s="1"/>
  <c r="AC49" i="3"/>
  <c r="BC209" i="3"/>
  <c r="AV163" i="3"/>
  <c r="AW160" i="3" s="1"/>
  <c r="AX182" i="3"/>
  <c r="AX183" i="3" s="1"/>
  <c r="AS146" i="3"/>
  <c r="AU165" i="3"/>
  <c r="AV164" i="3"/>
  <c r="AW408" i="3"/>
  <c r="AJ89" i="3"/>
  <c r="AJ90" i="3" a="1"/>
  <c r="AJ90" i="3" s="1"/>
  <c r="AJ87" i="3"/>
  <c r="BK294" i="3"/>
  <c r="BK302" i="3" s="1"/>
  <c r="BK296" i="3"/>
  <c r="BK297" i="3" a="1"/>
  <c r="BK297" i="3" s="1"/>
  <c r="AP119" i="3"/>
  <c r="AO120" i="3"/>
  <c r="AO121" i="3"/>
  <c r="BH281" i="3"/>
  <c r="AK86" i="3"/>
  <c r="AK83" i="3"/>
  <c r="AK84" i="3" s="1"/>
  <c r="AX158" i="3"/>
  <c r="AX155" i="3"/>
  <c r="AX156" i="3" s="1"/>
  <c r="BC200" i="3"/>
  <c r="BH252" i="3" a="1"/>
  <c r="BH252" i="3" s="1"/>
  <c r="BH254" i="3"/>
  <c r="BH245" i="3"/>
  <c r="AQ128" i="3"/>
  <c r="Z20" i="3"/>
  <c r="Z21" i="3" s="1"/>
  <c r="Z23" i="3"/>
  <c r="Z19" i="3"/>
  <c r="AC48" i="3"/>
  <c r="BC233" i="3"/>
  <c r="BC235" i="3" s="1"/>
  <c r="BD232" i="3" s="1"/>
  <c r="BH251" i="3"/>
  <c r="BH280" i="3"/>
  <c r="BI277" i="3" s="1"/>
  <c r="BI279" i="3" s="1" a="1"/>
  <c r="BI279" i="3" s="1"/>
  <c r="BC199" i="3"/>
  <c r="BD196" i="3" s="1"/>
  <c r="BD195" i="3" s="1"/>
  <c r="BD203" i="3" s="1"/>
  <c r="AW409" i="3"/>
  <c r="AX400" i="3"/>
  <c r="AX401" i="3" s="1"/>
  <c r="AQ125" i="3"/>
  <c r="AS143" i="3"/>
  <c r="AS144" i="3" a="1"/>
  <c r="AS144" i="3" s="1"/>
  <c r="AU171" i="3" a="1"/>
  <c r="AU171" i="3" s="1"/>
  <c r="AU170" i="3"/>
  <c r="AU168" i="3"/>
  <c r="AU173" i="3" s="1"/>
  <c r="AR148" i="3"/>
  <c r="AQ126" i="3" a="1"/>
  <c r="AQ126" i="3" s="1"/>
  <c r="BC231" i="3"/>
  <c r="BC239" i="3" s="1"/>
  <c r="Z39" i="3"/>
  <c r="AX154" i="3"/>
  <c r="AY151" i="3" s="1"/>
  <c r="AR147" i="3"/>
  <c r="BC208" i="3"/>
  <c r="BD205" i="3" s="1"/>
  <c r="BD206" i="3" s="1"/>
  <c r="Z40" i="3"/>
  <c r="AA34" i="3"/>
  <c r="AW417" i="3"/>
  <c r="AP130" i="3"/>
  <c r="AW418" i="3"/>
  <c r="AA32" i="3"/>
  <c r="AN107" i="3"/>
  <c r="AN108" i="3" a="1"/>
  <c r="AN108" i="3" s="1"/>
  <c r="AN105" i="3"/>
  <c r="AN110" i="3" s="1"/>
  <c r="AA28" i="3"/>
  <c r="AK82" i="3"/>
  <c r="BA215" i="3"/>
  <c r="BA213" i="3"/>
  <c r="BA221" i="3" s="1"/>
  <c r="BA216" i="3" a="1"/>
  <c r="BA216" i="3" s="1"/>
  <c r="AD44" i="3"/>
  <c r="AD42" i="3"/>
  <c r="AD47" i="3" s="1"/>
  <c r="AD45" i="3" a="1"/>
  <c r="AD45" i="3" s="1"/>
  <c r="AG73" i="3"/>
  <c r="AG62" i="3"/>
  <c r="AG63" i="3" a="1"/>
  <c r="AG63" i="3" s="1"/>
  <c r="AG60" i="3"/>
  <c r="AG65" i="3" s="1"/>
  <c r="AR139" i="3"/>
  <c r="AS133" i="3"/>
  <c r="AG77" i="3"/>
  <c r="BH244" i="3"/>
  <c r="BI241" i="3" s="1"/>
  <c r="AP129" i="3"/>
  <c r="AR138" i="3"/>
  <c r="AX425" i="3" a="1"/>
  <c r="AX425" i="3" s="1"/>
  <c r="AX426" i="3" s="1"/>
  <c r="AX390" i="3"/>
  <c r="AX391" i="3"/>
  <c r="AX408" i="3"/>
  <c r="AX409" i="3"/>
  <c r="AX354" i="3"/>
  <c r="AX355" i="3"/>
  <c r="AX273" i="3"/>
  <c r="AX274" i="3"/>
  <c r="AX345" i="3"/>
  <c r="AX346" i="3"/>
  <c r="AX256" i="3"/>
  <c r="AX255" i="3"/>
  <c r="AX310" i="3"/>
  <c r="AX309" i="3"/>
  <c r="AX192" i="3"/>
  <c r="AX193" i="3"/>
  <c r="AX202" i="3"/>
  <c r="AX201" i="3"/>
  <c r="AX336" i="3"/>
  <c r="AX337" i="3"/>
  <c r="AX372" i="3"/>
  <c r="AX373" i="3"/>
  <c r="AX374" i="3" s="1"/>
  <c r="AX291" i="3"/>
  <c r="AX292" i="3"/>
  <c r="AX238" i="3"/>
  <c r="AX237" i="3"/>
  <c r="AX264" i="3"/>
  <c r="AX265" i="3"/>
  <c r="AX247" i="3"/>
  <c r="AX246" i="3"/>
  <c r="AX381" i="3"/>
  <c r="AX382" i="3"/>
  <c r="AX229" i="3"/>
  <c r="AX228" i="3"/>
  <c r="AX364" i="3"/>
  <c r="AX363" i="3"/>
  <c r="AX319" i="3"/>
  <c r="AX318" i="3"/>
  <c r="AX220" i="3"/>
  <c r="AX219" i="3"/>
  <c r="AX282" i="3"/>
  <c r="AX283" i="3"/>
  <c r="AX210" i="3"/>
  <c r="AX211" i="3"/>
  <c r="AX328" i="3"/>
  <c r="AX327" i="3"/>
  <c r="AX417" i="3"/>
  <c r="AX418" i="3"/>
  <c r="AX300" i="3"/>
  <c r="AX301" i="3"/>
  <c r="V6" i="3"/>
  <c r="V11" i="3" s="1"/>
  <c r="V8" i="3"/>
  <c r="V9" i="3" a="1"/>
  <c r="V9" i="3" s="1"/>
  <c r="BE16" i="4"/>
  <c r="BE27" i="6" s="1"/>
  <c r="BE18" i="4"/>
  <c r="BE29" i="6" s="1"/>
  <c r="BF29" i="5"/>
  <c r="H29" i="5" s="1"/>
  <c r="BE18" i="7"/>
  <c r="BF25" i="5"/>
  <c r="H25" i="5" s="1"/>
  <c r="BE16" i="7"/>
  <c r="BE28" i="4"/>
  <c r="BE35" i="6" s="1"/>
  <c r="BD15" i="7"/>
  <c r="BE22" i="5"/>
  <c r="BE27" i="4" s="1"/>
  <c r="BE34" i="6" s="1"/>
  <c r="BF5" i="2"/>
  <c r="BE5" i="4"/>
  <c r="BE20" i="6" s="1"/>
  <c r="BQ7" i="2"/>
  <c r="BE8" i="2"/>
  <c r="BJ262" i="3" l="1"/>
  <c r="BK259" i="3" s="1"/>
  <c r="BJ258" i="3"/>
  <c r="BJ266" i="3" s="1"/>
  <c r="O7" i="8"/>
  <c r="AQ117" i="3" a="1"/>
  <c r="AQ117" i="3" s="1"/>
  <c r="AQ118" i="3" s="1"/>
  <c r="AR115" i="3" s="1"/>
  <c r="AE53" i="3"/>
  <c r="AE51" i="3"/>
  <c r="AE54" i="3" a="1"/>
  <c r="AE54" i="3" s="1"/>
  <c r="AQ114" i="3"/>
  <c r="AQ122" i="3" s="1"/>
  <c r="BD222" i="3"/>
  <c r="BD230" i="3" s="1"/>
  <c r="BD225" i="3" a="1"/>
  <c r="BD225" i="3" s="1"/>
  <c r="BD226" i="3" s="1"/>
  <c r="BE223" i="3" s="1"/>
  <c r="BH271" i="3"/>
  <c r="BI268" i="3" s="1"/>
  <c r="BI269" i="3" s="1"/>
  <c r="BD197" i="3"/>
  <c r="AX184" i="3"/>
  <c r="BD198" i="3" a="1"/>
  <c r="BD198" i="3" s="1"/>
  <c r="BE17" i="7"/>
  <c r="BF28" i="5"/>
  <c r="H28" i="5" s="1"/>
  <c r="AY191" i="3"/>
  <c r="AY192" i="3" s="1"/>
  <c r="BH275" i="3"/>
  <c r="BH272" i="3"/>
  <c r="BD200" i="3"/>
  <c r="AN98" i="3"/>
  <c r="AN96" i="3"/>
  <c r="AN99" i="3" a="1"/>
  <c r="AN99" i="3" s="1"/>
  <c r="BD204" i="3"/>
  <c r="BD212" i="3" s="1"/>
  <c r="AY190" i="3"/>
  <c r="AZ187" i="3" s="1"/>
  <c r="BI6" i="2"/>
  <c r="BI13" i="2" s="1"/>
  <c r="BF19" i="2"/>
  <c r="BE13" i="6"/>
  <c r="BE17" i="4"/>
  <c r="BE28" i="6" s="1"/>
  <c r="BE31" i="6" s="1"/>
  <c r="BE6" i="4"/>
  <c r="BE21" i="6" s="1"/>
  <c r="BD207" i="3" a="1"/>
  <c r="BD207" i="3" s="1"/>
  <c r="BD208" i="3" s="1"/>
  <c r="BE205" i="3" s="1"/>
  <c r="AQ127" i="3"/>
  <c r="AQ130" i="3" s="1"/>
  <c r="AY179" i="3"/>
  <c r="AY177" i="3"/>
  <c r="AY185" i="3" s="1"/>
  <c r="AY180" i="3" a="1"/>
  <c r="AY180" i="3" s="1"/>
  <c r="AP121" i="3"/>
  <c r="AW162" i="3" a="1"/>
  <c r="AW162" i="3" s="1"/>
  <c r="AW161" i="3"/>
  <c r="AW159" i="3"/>
  <c r="AW167" i="3" s="1"/>
  <c r="AP120" i="3"/>
  <c r="BK299" i="3"/>
  <c r="AJ92" i="3"/>
  <c r="AJ93" i="3" s="1"/>
  <c r="AJ95" i="3"/>
  <c r="BH253" i="3"/>
  <c r="BI250" i="3" s="1"/>
  <c r="BI249" i="3" s="1"/>
  <c r="BI257" i="3" s="1"/>
  <c r="AJ91" i="3"/>
  <c r="BK298" i="3"/>
  <c r="AV166" i="3"/>
  <c r="AV165" i="3"/>
  <c r="BA218" i="3"/>
  <c r="AX157" i="3"/>
  <c r="AX427" i="3"/>
  <c r="AY425" i="3"/>
  <c r="AZ425" i="3" s="1"/>
  <c r="BA425" i="3" s="1"/>
  <c r="BB425" i="3" s="1"/>
  <c r="BC425" i="3" s="1"/>
  <c r="BD425" i="3" s="1"/>
  <c r="BE425" i="3" s="1"/>
  <c r="BF425" i="3" s="1"/>
  <c r="BG425" i="3" s="1"/>
  <c r="BH425" i="3" s="1"/>
  <c r="BI425" i="3" s="1"/>
  <c r="BJ425" i="3" s="1"/>
  <c r="BK425" i="3" s="1"/>
  <c r="BC236" i="3"/>
  <c r="Z22" i="3"/>
  <c r="AA16" i="3"/>
  <c r="AX399" i="3"/>
  <c r="AS145" i="3"/>
  <c r="AT142" i="3" s="1"/>
  <c r="AT141" i="3" s="1"/>
  <c r="AT146" i="3" s="1"/>
  <c r="BI278" i="3"/>
  <c r="BI280" i="3" s="1"/>
  <c r="BJ277" i="3" s="1"/>
  <c r="BI276" i="3"/>
  <c r="BI284" i="3" s="1"/>
  <c r="AQ129" i="3"/>
  <c r="BA217" i="3"/>
  <c r="BB214" i="3" s="1"/>
  <c r="BB213" i="3" s="1"/>
  <c r="BB221" i="3" s="1"/>
  <c r="AU172" i="3"/>
  <c r="AV169" i="3" s="1"/>
  <c r="AS147" i="3"/>
  <c r="AU176" i="3"/>
  <c r="AU174" i="3"/>
  <c r="AY152" i="3"/>
  <c r="AY153" i="3" a="1"/>
  <c r="AY153" i="3" s="1"/>
  <c r="AY150" i="3"/>
  <c r="AY155" i="3" s="1"/>
  <c r="AA33" i="3"/>
  <c r="AA38" i="3" s="1"/>
  <c r="AA35" i="3"/>
  <c r="AA36" i="3" a="1"/>
  <c r="AA36" i="3" s="1"/>
  <c r="AS135" i="3" a="1"/>
  <c r="AS135" i="3" s="1"/>
  <c r="AS134" i="3"/>
  <c r="AS132" i="3"/>
  <c r="AS137" i="3" s="1"/>
  <c r="AG68" i="3"/>
  <c r="AG66" i="3"/>
  <c r="AN113" i="3"/>
  <c r="BK260" i="3"/>
  <c r="BK261" i="3" a="1"/>
  <c r="BK261" i="3" s="1"/>
  <c r="BK258" i="3"/>
  <c r="BK266" i="3" s="1"/>
  <c r="AD50" i="3"/>
  <c r="AD48" i="3"/>
  <c r="AK85" i="3"/>
  <c r="AL79" i="3"/>
  <c r="AG64" i="3"/>
  <c r="AD46" i="3"/>
  <c r="AG75" i="3"/>
  <c r="AN109" i="3"/>
  <c r="AA31" i="3"/>
  <c r="AB25" i="3"/>
  <c r="BI240" i="3"/>
  <c r="BI248" i="3" s="1"/>
  <c r="BI242" i="3"/>
  <c r="BI243" i="3" a="1"/>
  <c r="BI243" i="3" s="1"/>
  <c r="BD231" i="3"/>
  <c r="BD239" i="3" s="1"/>
  <c r="BD234" i="3" a="1"/>
  <c r="BD234" i="3" s="1"/>
  <c r="BD233" i="3"/>
  <c r="AA30" i="3"/>
  <c r="AG76" i="3"/>
  <c r="AH70" i="3"/>
  <c r="AY434" i="3" a="1"/>
  <c r="AY434" i="3" s="1"/>
  <c r="AY318" i="3"/>
  <c r="AY319" i="3"/>
  <c r="AY265" i="3"/>
  <c r="AY264" i="3"/>
  <c r="AY237" i="3"/>
  <c r="AY238" i="3"/>
  <c r="AY337" i="3"/>
  <c r="AY336" i="3"/>
  <c r="AY417" i="3"/>
  <c r="AY418" i="3"/>
  <c r="AY291" i="3"/>
  <c r="AY292" i="3"/>
  <c r="AY255" i="3"/>
  <c r="AY256" i="3"/>
  <c r="AY408" i="3"/>
  <c r="AY409" i="3"/>
  <c r="AY410" i="3" s="1"/>
  <c r="AY399" i="3"/>
  <c r="AY400" i="3"/>
  <c r="AY210" i="3"/>
  <c r="AY211" i="3"/>
  <c r="AY381" i="3"/>
  <c r="AY382" i="3"/>
  <c r="AY383" i="3" s="1"/>
  <c r="AY201" i="3"/>
  <c r="AY202" i="3"/>
  <c r="AY274" i="3"/>
  <c r="AY273" i="3"/>
  <c r="AY282" i="3"/>
  <c r="AY283" i="3"/>
  <c r="AY220" i="3"/>
  <c r="AY219" i="3"/>
  <c r="AY355" i="3"/>
  <c r="AY354" i="3"/>
  <c r="AY309" i="3"/>
  <c r="AY310" i="3"/>
  <c r="AY364" i="3"/>
  <c r="AY363" i="3"/>
  <c r="AY390" i="3"/>
  <c r="AY391" i="3"/>
  <c r="AY346" i="3"/>
  <c r="AY345" i="3"/>
  <c r="AY300" i="3"/>
  <c r="AY301" i="3"/>
  <c r="AY246" i="3"/>
  <c r="AY247" i="3"/>
  <c r="AY372" i="3"/>
  <c r="AY373" i="3"/>
  <c r="AY327" i="3"/>
  <c r="AY328" i="3"/>
  <c r="AY228" i="3"/>
  <c r="AY229" i="3"/>
  <c r="V10" i="3"/>
  <c r="V14" i="3"/>
  <c r="V4" i="3" s="1"/>
  <c r="V5" i="3"/>
  <c r="BF18" i="4"/>
  <c r="BF29" i="6" s="1"/>
  <c r="BF16" i="4"/>
  <c r="BF27" i="6" s="1"/>
  <c r="BE15" i="7"/>
  <c r="BF22" i="5"/>
  <c r="BG25" i="5"/>
  <c r="BF16" i="7"/>
  <c r="BF28" i="4"/>
  <c r="BF35" i="6" s="1"/>
  <c r="H35" i="6" s="1"/>
  <c r="BG29" i="5"/>
  <c r="BF18" i="7"/>
  <c r="BG5" i="2"/>
  <c r="BF5" i="4"/>
  <c r="H5" i="2"/>
  <c r="BR7" i="2"/>
  <c r="BF8" i="2"/>
  <c r="H8" i="2" s="1"/>
  <c r="H21" i="4"/>
  <c r="AU19" i="1" s="1"/>
  <c r="BJ263" i="3" l="1"/>
  <c r="AU7" i="1"/>
  <c r="N6" i="8"/>
  <c r="AQ119" i="3"/>
  <c r="AQ121" i="3" s="1"/>
  <c r="AE56" i="3"/>
  <c r="AE57" i="3" s="1"/>
  <c r="AE59" i="3"/>
  <c r="BD227" i="3"/>
  <c r="AE55" i="3"/>
  <c r="BD199" i="3"/>
  <c r="BE196" i="3" s="1"/>
  <c r="BE197" i="3" s="1"/>
  <c r="BI252" i="3" a="1"/>
  <c r="BI252" i="3" s="1"/>
  <c r="BI267" i="3"/>
  <c r="BI275" i="3" s="1"/>
  <c r="BF27" i="4"/>
  <c r="BF34" i="6" s="1"/>
  <c r="H22" i="5"/>
  <c r="BE225" i="3" a="1"/>
  <c r="BE225" i="3" s="1"/>
  <c r="BE222" i="3"/>
  <c r="BE224" i="3"/>
  <c r="BI270" i="3" a="1"/>
  <c r="BI270" i="3" s="1"/>
  <c r="BI271" i="3" s="1"/>
  <c r="BJ268" i="3" s="1"/>
  <c r="BF17" i="7"/>
  <c r="BG28" i="5"/>
  <c r="BD209" i="3"/>
  <c r="AR124" i="3"/>
  <c r="AR125" i="3" s="1"/>
  <c r="AY193" i="3"/>
  <c r="AN104" i="3"/>
  <c r="AN101" i="3"/>
  <c r="AN100" i="3"/>
  <c r="BF17" i="4"/>
  <c r="BF28" i="6" s="1"/>
  <c r="BF31" i="6" s="1"/>
  <c r="BF13" i="6"/>
  <c r="H13" i="6" s="1"/>
  <c r="BF6" i="4"/>
  <c r="AZ186" i="3"/>
  <c r="AZ189" i="3" a="1"/>
  <c r="AZ189" i="3" s="1"/>
  <c r="AZ188" i="3"/>
  <c r="BG19" i="2"/>
  <c r="BJ6" i="2"/>
  <c r="BJ13" i="2" s="1"/>
  <c r="BI251" i="3"/>
  <c r="AY182" i="3"/>
  <c r="AY183" i="3" s="1"/>
  <c r="AY181" i="3"/>
  <c r="AS148" i="3"/>
  <c r="AW163" i="3"/>
  <c r="AW164" i="3"/>
  <c r="AY427" i="3"/>
  <c r="BI245" i="3"/>
  <c r="AJ94" i="3"/>
  <c r="AK88" i="3"/>
  <c r="AY426" i="3"/>
  <c r="BI281" i="3"/>
  <c r="AY435" i="3"/>
  <c r="AZ434" i="3"/>
  <c r="BA434" i="3" s="1"/>
  <c r="BB434" i="3" s="1"/>
  <c r="BC434" i="3" s="1"/>
  <c r="BD434" i="3" s="1"/>
  <c r="BE434" i="3" s="1"/>
  <c r="BF434" i="3" s="1"/>
  <c r="BG434" i="3" s="1"/>
  <c r="BH434" i="3" s="1"/>
  <c r="BI434" i="3" s="1"/>
  <c r="BJ434" i="3" s="1"/>
  <c r="BK434" i="3" s="1"/>
  <c r="AT143" i="3"/>
  <c r="BD236" i="3"/>
  <c r="BI254" i="3"/>
  <c r="BB215" i="3"/>
  <c r="BB218" i="3"/>
  <c r="BK263" i="3"/>
  <c r="AA17" i="3"/>
  <c r="AA18" i="3" a="1"/>
  <c r="AA18" i="3" s="1"/>
  <c r="AA15" i="3"/>
  <c r="BB216" i="3" a="1"/>
  <c r="BB216" i="3" s="1"/>
  <c r="AY436" i="3"/>
  <c r="AT144" i="3" a="1"/>
  <c r="AT144" i="3" s="1"/>
  <c r="BK262" i="3"/>
  <c r="AU175" i="3"/>
  <c r="AV171" i="3" a="1"/>
  <c r="AV171" i="3" s="1"/>
  <c r="AV170" i="3"/>
  <c r="AV168" i="3"/>
  <c r="AV173" i="3" s="1"/>
  <c r="AA37" i="3"/>
  <c r="AA41" i="3"/>
  <c r="AY158" i="3"/>
  <c r="AY154" i="3"/>
  <c r="BD235" i="3"/>
  <c r="BE232" i="3" s="1"/>
  <c r="AS136" i="3"/>
  <c r="AD49" i="3"/>
  <c r="AE43" i="3"/>
  <c r="AR114" i="3"/>
  <c r="AR119" i="3" s="1"/>
  <c r="AR116" i="3"/>
  <c r="AR117" i="3" a="1"/>
  <c r="AR117" i="3" s="1"/>
  <c r="AH69" i="3"/>
  <c r="AH74" i="3" s="1"/>
  <c r="AH72" i="3" a="1"/>
  <c r="AH72" i="3" s="1"/>
  <c r="AH71" i="3"/>
  <c r="BE207" i="3" a="1"/>
  <c r="BE207" i="3" s="1"/>
  <c r="BE204" i="3"/>
  <c r="BE212" i="3" s="1"/>
  <c r="BE206" i="3"/>
  <c r="AN111" i="3"/>
  <c r="BJ276" i="3"/>
  <c r="BJ284" i="3" s="1"/>
  <c r="BJ279" i="3" a="1"/>
  <c r="BJ279" i="3" s="1"/>
  <c r="BJ278" i="3"/>
  <c r="AG67" i="3"/>
  <c r="AH61" i="3"/>
  <c r="AL80" i="3"/>
  <c r="AL81" i="3" a="1"/>
  <c r="AL81" i="3" s="1"/>
  <c r="AL78" i="3"/>
  <c r="AL83" i="3" s="1"/>
  <c r="AB24" i="3"/>
  <c r="AB29" i="3" s="1"/>
  <c r="AB26" i="3"/>
  <c r="AB27" i="3" a="1"/>
  <c r="AB27" i="3" s="1"/>
  <c r="AN112" i="3"/>
  <c r="AO106" i="3"/>
  <c r="AS140" i="3"/>
  <c r="AS138" i="3"/>
  <c r="BI244" i="3"/>
  <c r="BJ241" i="3" s="1"/>
  <c r="AT149" i="3"/>
  <c r="AZ443" i="3" a="1"/>
  <c r="AZ443" i="3" s="1"/>
  <c r="BA443" i="3" s="1"/>
  <c r="BB443" i="3" s="1"/>
  <c r="BC443" i="3" s="1"/>
  <c r="BD443" i="3" s="1"/>
  <c r="BE443" i="3" s="1"/>
  <c r="BF443" i="3" s="1"/>
  <c r="BG443" i="3" s="1"/>
  <c r="BH443" i="3" s="1"/>
  <c r="BI443" i="3" s="1"/>
  <c r="BJ443" i="3" s="1"/>
  <c r="BK443" i="3" s="1"/>
  <c r="AZ354" i="3"/>
  <c r="AZ355" i="3"/>
  <c r="AZ238" i="3"/>
  <c r="AZ237" i="3"/>
  <c r="AZ228" i="3"/>
  <c r="AZ229" i="3"/>
  <c r="AZ201" i="3"/>
  <c r="AZ202" i="3"/>
  <c r="AZ246" i="3"/>
  <c r="AZ247" i="3"/>
  <c r="AZ363" i="3"/>
  <c r="AZ364" i="3"/>
  <c r="AZ210" i="3"/>
  <c r="AZ211" i="3"/>
  <c r="AZ274" i="3"/>
  <c r="AZ273" i="3"/>
  <c r="AZ409" i="3"/>
  <c r="AZ408" i="3"/>
  <c r="AZ291" i="3"/>
  <c r="AZ292" i="3"/>
  <c r="AZ381" i="3"/>
  <c r="AZ382" i="3"/>
  <c r="AZ328" i="3"/>
  <c r="AZ327" i="3"/>
  <c r="AZ220" i="3"/>
  <c r="AZ219" i="3"/>
  <c r="AZ418" i="3"/>
  <c r="AZ419" i="3" s="1"/>
  <c r="AZ417" i="3"/>
  <c r="AZ345" i="3"/>
  <c r="AZ346" i="3"/>
  <c r="AZ309" i="3"/>
  <c r="AZ310" i="3"/>
  <c r="AZ282" i="3"/>
  <c r="AZ283" i="3"/>
  <c r="AZ336" i="3"/>
  <c r="AZ337" i="3"/>
  <c r="AZ265" i="3"/>
  <c r="AZ264" i="3"/>
  <c r="AZ372" i="3"/>
  <c r="AZ373" i="3"/>
  <c r="AZ301" i="3"/>
  <c r="AZ300" i="3"/>
  <c r="AZ399" i="3"/>
  <c r="AZ400" i="3"/>
  <c r="AZ391" i="3"/>
  <c r="AZ392" i="3" s="1"/>
  <c r="AZ390" i="3"/>
  <c r="AZ255" i="3"/>
  <c r="AZ256" i="3"/>
  <c r="AZ318" i="3"/>
  <c r="AZ319" i="3"/>
  <c r="AZ426" i="3"/>
  <c r="AZ427" i="3"/>
  <c r="V13" i="3"/>
  <c r="V3" i="3" s="1"/>
  <c r="AC22" i="2" s="1"/>
  <c r="AC14" i="6" s="1"/>
  <c r="W7" i="3"/>
  <c r="V12" i="3"/>
  <c r="V2" i="3" s="1"/>
  <c r="BG18" i="4"/>
  <c r="BG29" i="6" s="1"/>
  <c r="BG16" i="4"/>
  <c r="BG27" i="6" s="1"/>
  <c r="H28" i="4"/>
  <c r="BH29" i="5"/>
  <c r="BG18" i="7"/>
  <c r="BH25" i="5"/>
  <c r="BG16" i="7"/>
  <c r="BG28" i="4"/>
  <c r="BG35" i="6" s="1"/>
  <c r="BF15" i="7"/>
  <c r="BG22" i="5"/>
  <c r="BH5" i="2"/>
  <c r="BF20" i="6"/>
  <c r="H5" i="4"/>
  <c r="BG5" i="4"/>
  <c r="I7" i="2"/>
  <c r="BG8" i="2"/>
  <c r="H16" i="4"/>
  <c r="N21" i="8"/>
  <c r="P21" i="8" s="1"/>
  <c r="H32" i="6"/>
  <c r="H29" i="6"/>
  <c r="H18" i="4"/>
  <c r="AQ120" i="3" l="1"/>
  <c r="P6" i="8"/>
  <c r="O6" i="8"/>
  <c r="BE195" i="3"/>
  <c r="BE203" i="3" s="1"/>
  <c r="AE58" i="3"/>
  <c r="AF52" i="3"/>
  <c r="BE198" i="3" a="1"/>
  <c r="BE198" i="3" s="1"/>
  <c r="BE199" i="3" s="1"/>
  <c r="BF196" i="3" s="1"/>
  <c r="BF197" i="3" s="1"/>
  <c r="BE200" i="3"/>
  <c r="BI253" i="3"/>
  <c r="BJ250" i="3" s="1"/>
  <c r="BJ251" i="3" s="1"/>
  <c r="BI272" i="3"/>
  <c r="BE226" i="3"/>
  <c r="BF223" i="3" s="1"/>
  <c r="BF222" i="3" s="1"/>
  <c r="BF230" i="3" s="1"/>
  <c r="AR126" i="3" a="1"/>
  <c r="AR126" i="3" s="1"/>
  <c r="AR127" i="3" s="1"/>
  <c r="AS124" i="3" s="1"/>
  <c r="AS125" i="3" s="1"/>
  <c r="AR123" i="3"/>
  <c r="AR128" i="3" s="1"/>
  <c r="BE230" i="3"/>
  <c r="BE227" i="3"/>
  <c r="BG17" i="7"/>
  <c r="BH28" i="5"/>
  <c r="BJ267" i="3"/>
  <c r="BJ269" i="3"/>
  <c r="BJ270" i="3" a="1"/>
  <c r="BJ270" i="3" s="1"/>
  <c r="BB217" i="3"/>
  <c r="BC214" i="3" s="1"/>
  <c r="BC215" i="3" s="1"/>
  <c r="AT145" i="3"/>
  <c r="AU142" i="3" s="1"/>
  <c r="AU141" i="3" s="1"/>
  <c r="AU149" i="3" s="1"/>
  <c r="AO97" i="3"/>
  <c r="AN103" i="3"/>
  <c r="AN102" i="3"/>
  <c r="BG17" i="4"/>
  <c r="BG28" i="6" s="1"/>
  <c r="BG31" i="6" s="1"/>
  <c r="BG13" i="6"/>
  <c r="BG6" i="4"/>
  <c r="BG21" i="6" s="1"/>
  <c r="AZ190" i="3"/>
  <c r="AZ194" i="3"/>
  <c r="AZ191" i="3"/>
  <c r="BH19" i="2"/>
  <c r="BK6" i="2"/>
  <c r="BK13" i="2" s="1"/>
  <c r="AZ178" i="3"/>
  <c r="AY184" i="3"/>
  <c r="AW165" i="3"/>
  <c r="AX160" i="3"/>
  <c r="AW166" i="3"/>
  <c r="AZ435" i="3"/>
  <c r="AK90" i="3" a="1"/>
  <c r="AK90" i="3" s="1"/>
  <c r="AK89" i="3"/>
  <c r="AK87" i="3"/>
  <c r="AZ436" i="3"/>
  <c r="AH73" i="3"/>
  <c r="AI70" i="3" s="1"/>
  <c r="AI71" i="3" s="1"/>
  <c r="BJ281" i="3"/>
  <c r="BE209" i="3"/>
  <c r="AA20" i="3"/>
  <c r="AA21" i="3" s="1"/>
  <c r="AA23" i="3"/>
  <c r="AA19" i="3"/>
  <c r="BJ280" i="3"/>
  <c r="BK277" i="3" s="1"/>
  <c r="BK276" i="3" s="1"/>
  <c r="BK284" i="3" s="1"/>
  <c r="AV172" i="3"/>
  <c r="AW169" i="3" s="1"/>
  <c r="AW170" i="3" s="1"/>
  <c r="AV176" i="3"/>
  <c r="AZ445" i="3"/>
  <c r="AZ444" i="3"/>
  <c r="BE208" i="3"/>
  <c r="BF205" i="3" s="1"/>
  <c r="BF204" i="3" s="1"/>
  <c r="BF212" i="3" s="1"/>
  <c r="AZ151" i="3"/>
  <c r="AY157" i="3"/>
  <c r="AY156" i="3"/>
  <c r="AA39" i="3"/>
  <c r="AA40" i="3"/>
  <c r="AB34" i="3"/>
  <c r="AB28" i="3"/>
  <c r="AT147" i="3"/>
  <c r="AB32" i="3"/>
  <c r="AB30" i="3"/>
  <c r="AL86" i="3"/>
  <c r="AL84" i="3"/>
  <c r="BE231" i="3"/>
  <c r="BE239" i="3" s="1"/>
  <c r="BE234" i="3" a="1"/>
  <c r="BE234" i="3" s="1"/>
  <c r="BE233" i="3"/>
  <c r="AE42" i="3"/>
  <c r="AE47" i="3" s="1"/>
  <c r="AE44" i="3"/>
  <c r="AE45" i="3" a="1"/>
  <c r="AE45" i="3" s="1"/>
  <c r="AL82" i="3"/>
  <c r="AS139" i="3"/>
  <c r="AT133" i="3"/>
  <c r="AO108" i="3" a="1"/>
  <c r="AO108" i="3" s="1"/>
  <c r="AO107" i="3"/>
  <c r="AO105" i="3"/>
  <c r="AO110" i="3" s="1"/>
  <c r="AH63" i="3" a="1"/>
  <c r="AH63" i="3" s="1"/>
  <c r="AH60" i="3"/>
  <c r="AH65" i="3" s="1"/>
  <c r="AH62" i="3"/>
  <c r="AR122" i="3"/>
  <c r="BJ243" i="3" a="1"/>
  <c r="BJ243" i="3" s="1"/>
  <c r="BJ240" i="3"/>
  <c r="BJ242" i="3"/>
  <c r="AH77" i="3"/>
  <c r="AR118" i="3"/>
  <c r="BA452" i="3" a="1"/>
  <c r="BA452" i="3" s="1"/>
  <c r="BA309" i="3"/>
  <c r="BA310" i="3"/>
  <c r="BA292" i="3"/>
  <c r="BA291" i="3"/>
  <c r="BA246" i="3"/>
  <c r="BA247" i="3"/>
  <c r="BA201" i="3"/>
  <c r="BA202" i="3"/>
  <c r="BA372" i="3"/>
  <c r="BA373" i="3"/>
  <c r="BA436" i="3"/>
  <c r="BA435" i="3"/>
  <c r="BA382" i="3"/>
  <c r="BA381" i="3"/>
  <c r="BA210" i="3"/>
  <c r="BA211" i="3"/>
  <c r="BA237" i="3"/>
  <c r="BA238" i="3"/>
  <c r="BA219" i="3"/>
  <c r="BA220" i="3"/>
  <c r="BA408" i="3"/>
  <c r="BA409" i="3"/>
  <c r="BA426" i="3"/>
  <c r="BA427" i="3"/>
  <c r="BA428" i="3" s="1"/>
  <c r="BA264" i="3"/>
  <c r="BA265" i="3"/>
  <c r="BA319" i="3"/>
  <c r="BA318" i="3"/>
  <c r="BA301" i="3"/>
  <c r="BA300" i="3"/>
  <c r="BA282" i="3"/>
  <c r="BA283" i="3"/>
  <c r="BA418" i="3"/>
  <c r="BA417" i="3"/>
  <c r="BA363" i="3"/>
  <c r="BA364" i="3"/>
  <c r="BA354" i="3"/>
  <c r="BA355" i="3"/>
  <c r="BA255" i="3"/>
  <c r="BA256" i="3"/>
  <c r="BA399" i="3"/>
  <c r="BA400" i="3"/>
  <c r="BA401" i="3" s="1"/>
  <c r="BA346" i="3"/>
  <c r="BA345" i="3"/>
  <c r="BA327" i="3"/>
  <c r="BA328" i="3"/>
  <c r="BA273" i="3"/>
  <c r="BA274" i="3"/>
  <c r="BA391" i="3"/>
  <c r="BA390" i="3"/>
  <c r="BA336" i="3"/>
  <c r="BA337" i="3"/>
  <c r="BA444" i="3"/>
  <c r="BA445" i="3"/>
  <c r="BA228" i="3"/>
  <c r="BA229" i="3"/>
  <c r="W9" i="3" a="1"/>
  <c r="W9" i="3" s="1"/>
  <c r="W6" i="3"/>
  <c r="W11" i="3" s="1"/>
  <c r="W8" i="3"/>
  <c r="BH18" i="4"/>
  <c r="BH29" i="6" s="1"/>
  <c r="BH16" i="4"/>
  <c r="BH27" i="6" s="1"/>
  <c r="BG15" i="7"/>
  <c r="BH22" i="5"/>
  <c r="BH27" i="4" s="1"/>
  <c r="BH34" i="6" s="1"/>
  <c r="BI25" i="5"/>
  <c r="BH16" i="7"/>
  <c r="BH28" i="4"/>
  <c r="BH35" i="6" s="1"/>
  <c r="BG27" i="4"/>
  <c r="BG34" i="6" s="1"/>
  <c r="BI29" i="5"/>
  <c r="BH18" i="7"/>
  <c r="BI5" i="2"/>
  <c r="BH5" i="4"/>
  <c r="BH20" i="6" s="1"/>
  <c r="BG20" i="6"/>
  <c r="BF21" i="6"/>
  <c r="H21" i="6" s="1"/>
  <c r="H6" i="4"/>
  <c r="BH8" i="2"/>
  <c r="H20" i="6"/>
  <c r="H15" i="7"/>
  <c r="H27" i="4"/>
  <c r="O21" i="8"/>
  <c r="H27" i="6"/>
  <c r="H28" i="6"/>
  <c r="H17" i="4"/>
  <c r="BJ249" i="3" l="1"/>
  <c r="BJ257" i="3" s="1"/>
  <c r="BJ252" i="3" a="1"/>
  <c r="BJ252" i="3" s="1"/>
  <c r="AF54" i="3" a="1"/>
  <c r="AF54" i="3" s="1"/>
  <c r="AF51" i="3"/>
  <c r="AF53" i="3"/>
  <c r="BF225" i="3" a="1"/>
  <c r="BF225" i="3" s="1"/>
  <c r="BF224" i="3"/>
  <c r="AS123" i="3"/>
  <c r="AS131" i="3" s="1"/>
  <c r="AS126" i="3" a="1"/>
  <c r="AS126" i="3" s="1"/>
  <c r="AS127" i="3" s="1"/>
  <c r="BF198" i="3" a="1"/>
  <c r="BF198" i="3" s="1"/>
  <c r="BF199" i="3" s="1"/>
  <c r="BG196" i="3" s="1"/>
  <c r="BG197" i="3" s="1"/>
  <c r="AR129" i="3"/>
  <c r="BF195" i="3"/>
  <c r="BF203" i="3" s="1"/>
  <c r="BF227" i="3"/>
  <c r="AU146" i="3"/>
  <c r="AU143" i="3"/>
  <c r="AR131" i="3"/>
  <c r="BK278" i="3"/>
  <c r="AR130" i="3"/>
  <c r="BK279" i="3" a="1"/>
  <c r="BK279" i="3" s="1"/>
  <c r="BC213" i="3"/>
  <c r="BC221" i="3" s="1"/>
  <c r="BC216" i="3" a="1"/>
  <c r="BC216" i="3" s="1"/>
  <c r="BC217" i="3" s="1"/>
  <c r="BD214" i="3" s="1"/>
  <c r="BJ271" i="3"/>
  <c r="BK268" i="3" s="1"/>
  <c r="BJ275" i="3"/>
  <c r="BJ272" i="3"/>
  <c r="BH17" i="7"/>
  <c r="BI28" i="5"/>
  <c r="AU144" i="3" a="1"/>
  <c r="AU144" i="3" s="1"/>
  <c r="AT148" i="3"/>
  <c r="BF206" i="3"/>
  <c r="AO98" i="3"/>
  <c r="AO99" i="3" a="1"/>
  <c r="AO99" i="3" s="1"/>
  <c r="AO96" i="3"/>
  <c r="BH13" i="6"/>
  <c r="BH17" i="4"/>
  <c r="BH28" i="6" s="1"/>
  <c r="BH31" i="6" s="1"/>
  <c r="BH6" i="4"/>
  <c r="BH21" i="6" s="1"/>
  <c r="AZ192" i="3"/>
  <c r="BI19" i="2"/>
  <c r="BL6" i="2"/>
  <c r="BL13" i="2" s="1"/>
  <c r="AI72" i="3" a="1"/>
  <c r="AI72" i="3" s="1"/>
  <c r="AI73" i="3" s="1"/>
  <c r="AI69" i="3"/>
  <c r="AI77" i="3" s="1"/>
  <c r="BA187" i="3"/>
  <c r="AZ193" i="3"/>
  <c r="AZ177" i="3"/>
  <c r="AZ180" i="3" a="1"/>
  <c r="AZ180" i="3" s="1"/>
  <c r="AZ179" i="3"/>
  <c r="BF209" i="3"/>
  <c r="AX159" i="3"/>
  <c r="AX161" i="3"/>
  <c r="AX162" i="3" a="1"/>
  <c r="AX162" i="3" s="1"/>
  <c r="AK91" i="3"/>
  <c r="AL88" i="3" s="1"/>
  <c r="AL87" i="3" s="1"/>
  <c r="AL95" i="3" s="1"/>
  <c r="AK95" i="3"/>
  <c r="AK92" i="3"/>
  <c r="BJ254" i="3"/>
  <c r="AW171" i="3" a="1"/>
  <c r="AW171" i="3" s="1"/>
  <c r="AW172" i="3" s="1"/>
  <c r="AX169" i="3" s="1"/>
  <c r="AV175" i="3"/>
  <c r="BA453" i="3"/>
  <c r="BB452" i="3"/>
  <c r="BC452" i="3" s="1"/>
  <c r="BD452" i="3" s="1"/>
  <c r="BE452" i="3" s="1"/>
  <c r="BF452" i="3" s="1"/>
  <c r="BG452" i="3" s="1"/>
  <c r="BH452" i="3" s="1"/>
  <c r="BI452" i="3" s="1"/>
  <c r="BJ452" i="3" s="1"/>
  <c r="BK452" i="3" s="1"/>
  <c r="BK281" i="3"/>
  <c r="BJ248" i="3"/>
  <c r="BJ245" i="3"/>
  <c r="BE236" i="3"/>
  <c r="AA22" i="3"/>
  <c r="AB16" i="3"/>
  <c r="AW168" i="3"/>
  <c r="BF207" i="3" a="1"/>
  <c r="BF207" i="3" s="1"/>
  <c r="AV174" i="3"/>
  <c r="AO109" i="3"/>
  <c r="AP106" i="3" s="1"/>
  <c r="AP107" i="3" s="1"/>
  <c r="AZ152" i="3"/>
  <c r="AZ153" i="3" a="1"/>
  <c r="AZ153" i="3" s="1"/>
  <c r="AZ150" i="3"/>
  <c r="AZ155" i="3" s="1"/>
  <c r="AB33" i="3"/>
  <c r="AB38" i="3" s="1"/>
  <c r="AB35" i="3"/>
  <c r="AB36" i="3" a="1"/>
  <c r="AB36" i="3" s="1"/>
  <c r="BJ244" i="3"/>
  <c r="BK241" i="3" s="1"/>
  <c r="BK242" i="3" s="1"/>
  <c r="BE235" i="3"/>
  <c r="BF232" i="3" s="1"/>
  <c r="BF231" i="3" s="1"/>
  <c r="BF239" i="3" s="1"/>
  <c r="AM79" i="3"/>
  <c r="AL85" i="3"/>
  <c r="AH68" i="3"/>
  <c r="AH66" i="3"/>
  <c r="BA454" i="3"/>
  <c r="AR121" i="3"/>
  <c r="AS115" i="3"/>
  <c r="AO113" i="3"/>
  <c r="AO111" i="3"/>
  <c r="AH75" i="3"/>
  <c r="AR120" i="3"/>
  <c r="AT132" i="3"/>
  <c r="AT137" i="3" s="1"/>
  <c r="AT135" i="3" a="1"/>
  <c r="AT135" i="3" s="1"/>
  <c r="AT134" i="3"/>
  <c r="AH76" i="3"/>
  <c r="AE46" i="3"/>
  <c r="BJ253" i="3"/>
  <c r="BK250" i="3" s="1"/>
  <c r="AH64" i="3"/>
  <c r="AE50" i="3"/>
  <c r="AB31" i="3"/>
  <c r="AC25" i="3"/>
  <c r="BB461" i="3" a="1"/>
  <c r="BB461" i="3" s="1"/>
  <c r="BC461" i="3" s="1"/>
  <c r="BD461" i="3" s="1"/>
  <c r="BE461" i="3" s="1"/>
  <c r="BF461" i="3" s="1"/>
  <c r="BG461" i="3" s="1"/>
  <c r="BH461" i="3" s="1"/>
  <c r="BI461" i="3" s="1"/>
  <c r="BJ461" i="3" s="1"/>
  <c r="BK461" i="3" s="1"/>
  <c r="BB346" i="3"/>
  <c r="BB345" i="3"/>
  <c r="BB408" i="3"/>
  <c r="BB409" i="3"/>
  <c r="BB410" i="3" s="1"/>
  <c r="BB246" i="3"/>
  <c r="BB247" i="3"/>
  <c r="BB273" i="3"/>
  <c r="BB274" i="3"/>
  <c r="BB300" i="3"/>
  <c r="BB301" i="3"/>
  <c r="BB444" i="3"/>
  <c r="BB445" i="3"/>
  <c r="BB336" i="3"/>
  <c r="BB337" i="3"/>
  <c r="BB399" i="3"/>
  <c r="BB400" i="3"/>
  <c r="BB354" i="3"/>
  <c r="BB355" i="3"/>
  <c r="BB319" i="3"/>
  <c r="BB318" i="3"/>
  <c r="BB381" i="3"/>
  <c r="BB382" i="3"/>
  <c r="BB309" i="3"/>
  <c r="BB310" i="3"/>
  <c r="BB363" i="3"/>
  <c r="BB364" i="3"/>
  <c r="BB417" i="3"/>
  <c r="BB418" i="3"/>
  <c r="BB291" i="3"/>
  <c r="BB292" i="3"/>
  <c r="BB229" i="3"/>
  <c r="BB228" i="3"/>
  <c r="BB328" i="3"/>
  <c r="BB327" i="3"/>
  <c r="BB283" i="3"/>
  <c r="BB282" i="3"/>
  <c r="BB427" i="3"/>
  <c r="BB426" i="3"/>
  <c r="BB238" i="3"/>
  <c r="BB237" i="3"/>
  <c r="BB373" i="3"/>
  <c r="BB372" i="3"/>
  <c r="BB256" i="3"/>
  <c r="BB255" i="3"/>
  <c r="BB219" i="3"/>
  <c r="BB220" i="3"/>
  <c r="BB436" i="3"/>
  <c r="BB437" i="3" s="1"/>
  <c r="BB435" i="3"/>
  <c r="BB201" i="3"/>
  <c r="BB202" i="3"/>
  <c r="BB211" i="3"/>
  <c r="BB210" i="3"/>
  <c r="BB391" i="3"/>
  <c r="BB390" i="3"/>
  <c r="BB264" i="3"/>
  <c r="BB265" i="3"/>
  <c r="W10" i="3"/>
  <c r="X7" i="3" s="1"/>
  <c r="X6" i="3" s="1"/>
  <c r="X14" i="3" s="1"/>
  <c r="X4" i="3" s="1"/>
  <c r="W14" i="3"/>
  <c r="W4" i="3" s="1"/>
  <c r="W5" i="3"/>
  <c r="BI18" i="4"/>
  <c r="BI29" i="6" s="1"/>
  <c r="BI16" i="4"/>
  <c r="BI27" i="6" s="1"/>
  <c r="BJ29" i="5"/>
  <c r="BI18" i="7"/>
  <c r="BJ25" i="5"/>
  <c r="BI16" i="7"/>
  <c r="BI28" i="4"/>
  <c r="BI35" i="6" s="1"/>
  <c r="BH15" i="7"/>
  <c r="BI22" i="5"/>
  <c r="BI27" i="4" s="1"/>
  <c r="BI34" i="6" s="1"/>
  <c r="BJ5" i="2"/>
  <c r="H31" i="10"/>
  <c r="H29" i="10"/>
  <c r="H28" i="10"/>
  <c r="H30" i="10"/>
  <c r="H27" i="10"/>
  <c r="BI5" i="4"/>
  <c r="BI20" i="6" s="1"/>
  <c r="BI8" i="2"/>
  <c r="H34" i="6"/>
  <c r="AF55" i="3" l="1"/>
  <c r="AG52" i="3" s="1"/>
  <c r="AS128" i="3"/>
  <c r="AS129" i="3" s="1"/>
  <c r="AF56" i="3"/>
  <c r="AF57" i="3" s="1"/>
  <c r="AF59" i="3"/>
  <c r="BF226" i="3"/>
  <c r="BG223" i="3" s="1"/>
  <c r="BG222" i="3" s="1"/>
  <c r="BG198" i="3" a="1"/>
  <c r="BG198" i="3" s="1"/>
  <c r="BG199" i="3" s="1"/>
  <c r="BH196" i="3" s="1"/>
  <c r="BH197" i="3" s="1"/>
  <c r="AU147" i="3"/>
  <c r="BG195" i="3"/>
  <c r="BF200" i="3"/>
  <c r="BK280" i="3"/>
  <c r="BF208" i="3"/>
  <c r="BG205" i="3" s="1"/>
  <c r="BG206" i="3" s="1"/>
  <c r="BC218" i="3"/>
  <c r="BC219" i="3" s="1"/>
  <c r="AI74" i="3"/>
  <c r="AI75" i="3" s="1"/>
  <c r="AU145" i="3"/>
  <c r="AV142" i="3" s="1"/>
  <c r="X11" i="3"/>
  <c r="X5" i="3" s="1"/>
  <c r="BK269" i="3"/>
  <c r="BK267" i="3"/>
  <c r="BK275" i="3" s="1"/>
  <c r="BK270" i="3" a="1"/>
  <c r="BK270" i="3" s="1"/>
  <c r="BI17" i="7"/>
  <c r="BJ28" i="5"/>
  <c r="AO104" i="3"/>
  <c r="AO101" i="3"/>
  <c r="AO102" i="3" s="1"/>
  <c r="AO100" i="3"/>
  <c r="BI13" i="6"/>
  <c r="BI17" i="4"/>
  <c r="BI28" i="6" s="1"/>
  <c r="BI31" i="6" s="1"/>
  <c r="BI6" i="4"/>
  <c r="BI21" i="6" s="1"/>
  <c r="AL90" i="3" a="1"/>
  <c r="AL90" i="3" s="1"/>
  <c r="BA186" i="3"/>
  <c r="BA188" i="3"/>
  <c r="BA189" i="3" a="1"/>
  <c r="BA189" i="3" s="1"/>
  <c r="BJ19" i="2"/>
  <c r="BM6" i="2"/>
  <c r="BM13" i="2" s="1"/>
  <c r="AL89" i="3"/>
  <c r="AZ181" i="3"/>
  <c r="AZ182" i="3"/>
  <c r="AZ183" i="3" s="1"/>
  <c r="AZ185" i="3"/>
  <c r="AX163" i="3"/>
  <c r="AL92" i="3"/>
  <c r="AX167" i="3"/>
  <c r="AX164" i="3"/>
  <c r="AX165" i="3" s="1"/>
  <c r="AX170" i="3"/>
  <c r="AX168" i="3"/>
  <c r="AX176" i="3" s="1"/>
  <c r="AX171" i="3" a="1"/>
  <c r="AX171" i="3" s="1"/>
  <c r="AK93" i="3"/>
  <c r="BF236" i="3"/>
  <c r="AK94" i="3"/>
  <c r="BF234" i="3" a="1"/>
  <c r="BF234" i="3" s="1"/>
  <c r="BB454" i="3"/>
  <c r="BK240" i="3"/>
  <c r="BK248" i="3" s="1"/>
  <c r="AW176" i="3"/>
  <c r="AW173" i="3"/>
  <c r="AW174" i="3" s="1"/>
  <c r="AB17" i="3"/>
  <c r="AB15" i="3"/>
  <c r="AB18" i="3" a="1"/>
  <c r="AB18" i="3" s="1"/>
  <c r="AP105" i="3"/>
  <c r="BF233" i="3"/>
  <c r="AP108" i="3" a="1"/>
  <c r="AP108" i="3" s="1"/>
  <c r="AP109" i="3" s="1"/>
  <c r="AQ106" i="3" s="1"/>
  <c r="AQ108" i="3" s="1" a="1"/>
  <c r="AQ108" i="3" s="1"/>
  <c r="AO112" i="3"/>
  <c r="BK243" i="3" a="1"/>
  <c r="BK243" i="3" s="1"/>
  <c r="BK244" i="3" s="1"/>
  <c r="BB453" i="3"/>
  <c r="AT124" i="3"/>
  <c r="AT123" i="3" s="1"/>
  <c r="AT128" i="3" s="1"/>
  <c r="AB37" i="3"/>
  <c r="AB41" i="3"/>
  <c r="AZ158" i="3"/>
  <c r="AZ156" i="3"/>
  <c r="AZ154" i="3"/>
  <c r="AS116" i="3"/>
  <c r="AS117" i="3" a="1"/>
  <c r="AS117" i="3" s="1"/>
  <c r="AS114" i="3"/>
  <c r="AS119" i="3" s="1"/>
  <c r="AC26" i="3"/>
  <c r="AC24" i="3"/>
  <c r="AC29" i="3" s="1"/>
  <c r="AC27" i="3" a="1"/>
  <c r="AC27" i="3" s="1"/>
  <c r="AH67" i="3"/>
  <c r="AI61" i="3"/>
  <c r="BD215" i="3"/>
  <c r="BD216" i="3" a="1"/>
  <c r="BD216" i="3" s="1"/>
  <c r="BD213" i="3"/>
  <c r="BD221" i="3" s="1"/>
  <c r="AM80" i="3"/>
  <c r="AM78" i="3"/>
  <c r="AM83" i="3" s="1"/>
  <c r="AM81" i="3" a="1"/>
  <c r="AM81" i="3" s="1"/>
  <c r="BB462" i="3"/>
  <c r="BK252" i="3" a="1"/>
  <c r="BK252" i="3" s="1"/>
  <c r="BK251" i="3"/>
  <c r="BK249" i="3"/>
  <c r="BK257" i="3" s="1"/>
  <c r="AT140" i="3"/>
  <c r="AE48" i="3"/>
  <c r="AT136" i="3"/>
  <c r="BB463" i="3"/>
  <c r="AF43" i="3"/>
  <c r="AE49" i="3"/>
  <c r="AJ70" i="3"/>
  <c r="BC470" i="3" a="1"/>
  <c r="BC470" i="3" s="1"/>
  <c r="BC319" i="3"/>
  <c r="BC318" i="3"/>
  <c r="BC399" i="3"/>
  <c r="BC400" i="3"/>
  <c r="BC274" i="3"/>
  <c r="BC273" i="3"/>
  <c r="BC282" i="3"/>
  <c r="BC283" i="3"/>
  <c r="BC408" i="3"/>
  <c r="BC409" i="3"/>
  <c r="BC256" i="3"/>
  <c r="BC255" i="3"/>
  <c r="BC292" i="3"/>
  <c r="BC291" i="3"/>
  <c r="BC381" i="3"/>
  <c r="BC382" i="3"/>
  <c r="BC354" i="3"/>
  <c r="BC355" i="3"/>
  <c r="BC337" i="3"/>
  <c r="BC336" i="3"/>
  <c r="BC247" i="3"/>
  <c r="BC246" i="3"/>
  <c r="BC201" i="3"/>
  <c r="BC202" i="3"/>
  <c r="BC238" i="3"/>
  <c r="BC237" i="3"/>
  <c r="BC327" i="3"/>
  <c r="BC328" i="3"/>
  <c r="BC309" i="3"/>
  <c r="BC310" i="3"/>
  <c r="BC444" i="3"/>
  <c r="BC445" i="3"/>
  <c r="BC446" i="3" s="1"/>
  <c r="BC453" i="3"/>
  <c r="BC454" i="3"/>
  <c r="BC346" i="3"/>
  <c r="BC345" i="3"/>
  <c r="BC211" i="3"/>
  <c r="BC210" i="3"/>
  <c r="BC372" i="3"/>
  <c r="BC373" i="3"/>
  <c r="BC417" i="3"/>
  <c r="BC418" i="3"/>
  <c r="BC419" i="3" s="1"/>
  <c r="BC301" i="3"/>
  <c r="BC300" i="3"/>
  <c r="BC264" i="3"/>
  <c r="BC265" i="3"/>
  <c r="BC427" i="3"/>
  <c r="BC426" i="3"/>
  <c r="BC364" i="3"/>
  <c r="BC363" i="3"/>
  <c r="BC390" i="3"/>
  <c r="BC391" i="3"/>
  <c r="BC435" i="3"/>
  <c r="BC436" i="3"/>
  <c r="BC229" i="3"/>
  <c r="BC228" i="3"/>
  <c r="BC462" i="3"/>
  <c r="BC463" i="3"/>
  <c r="X8" i="3"/>
  <c r="X9" i="3" a="1"/>
  <c r="X9" i="3" s="1"/>
  <c r="W12" i="3"/>
  <c r="W2" i="3" s="1"/>
  <c r="W13" i="3"/>
  <c r="W3" i="3" s="1"/>
  <c r="AD22" i="2" s="1"/>
  <c r="AD14" i="6" s="1"/>
  <c r="BJ18" i="4"/>
  <c r="BJ29" i="6" s="1"/>
  <c r="BJ16" i="4"/>
  <c r="BJ27" i="6" s="1"/>
  <c r="AB14" i="2"/>
  <c r="BI15" i="7"/>
  <c r="BJ22" i="5"/>
  <c r="BJ27" i="4" s="1"/>
  <c r="BJ34" i="6" s="1"/>
  <c r="BK25" i="5"/>
  <c r="BJ16" i="7"/>
  <c r="BJ28" i="4"/>
  <c r="BJ35" i="6" s="1"/>
  <c r="BK29" i="5"/>
  <c r="BJ18" i="7"/>
  <c r="BK5" i="2"/>
  <c r="H32" i="10"/>
  <c r="H33" i="10"/>
  <c r="BJ5" i="4"/>
  <c r="BJ8" i="2"/>
  <c r="AS130" i="3" l="1"/>
  <c r="BG224" i="3"/>
  <c r="BG200" i="3"/>
  <c r="BG225" i="3" a="1"/>
  <c r="BG225" i="3" s="1"/>
  <c r="BG226" i="3" s="1"/>
  <c r="BH223" i="3" s="1"/>
  <c r="BH224" i="3" s="1"/>
  <c r="BG203" i="3"/>
  <c r="BH195" i="3"/>
  <c r="BH203" i="3" s="1"/>
  <c r="BH198" i="3" a="1"/>
  <c r="BH198" i="3" s="1"/>
  <c r="BH199" i="3" s="1"/>
  <c r="BI196" i="3" s="1"/>
  <c r="AF58" i="3"/>
  <c r="AG53" i="3"/>
  <c r="AG54" i="3" a="1"/>
  <c r="AG54" i="3" s="1"/>
  <c r="AG51" i="3"/>
  <c r="AG59" i="3" s="1"/>
  <c r="BG207" i="3" a="1"/>
  <c r="BG207" i="3" s="1"/>
  <c r="BG208" i="3" s="1"/>
  <c r="BH205" i="3" s="1"/>
  <c r="BH207" i="3" s="1" a="1"/>
  <c r="BH207" i="3" s="1"/>
  <c r="BG204" i="3"/>
  <c r="BG212" i="3" s="1"/>
  <c r="BC220" i="3"/>
  <c r="AI76" i="3"/>
  <c r="AU148" i="3"/>
  <c r="BG230" i="3"/>
  <c r="BG227" i="3"/>
  <c r="BK271" i="3"/>
  <c r="AL91" i="3"/>
  <c r="AM88" i="3" s="1"/>
  <c r="BJ17" i="7"/>
  <c r="BK28" i="5"/>
  <c r="AL93" i="3"/>
  <c r="BK272" i="3"/>
  <c r="AO103" i="3"/>
  <c r="AP97" i="3"/>
  <c r="BA190" i="3"/>
  <c r="BK19" i="2"/>
  <c r="BN6" i="2"/>
  <c r="BN13" i="2" s="1"/>
  <c r="BA194" i="3"/>
  <c r="BA191" i="3"/>
  <c r="BA192" i="3" s="1"/>
  <c r="BJ13" i="6"/>
  <c r="BJ17" i="4"/>
  <c r="BJ28" i="6" s="1"/>
  <c r="BJ31" i="6" s="1"/>
  <c r="BJ6" i="4"/>
  <c r="BJ21" i="6" s="1"/>
  <c r="BF235" i="3"/>
  <c r="BG232" i="3" s="1"/>
  <c r="BG233" i="3" s="1"/>
  <c r="BA178" i="3"/>
  <c r="AZ184" i="3"/>
  <c r="AX172" i="3"/>
  <c r="AY169" i="3" s="1"/>
  <c r="AT125" i="3"/>
  <c r="AX166" i="3"/>
  <c r="AY160" i="3"/>
  <c r="AT126" i="3" a="1"/>
  <c r="AT126" i="3" s="1"/>
  <c r="AT129" i="3" s="1"/>
  <c r="BK253" i="3"/>
  <c r="BK254" i="3"/>
  <c r="AP113" i="3"/>
  <c r="AP110" i="3"/>
  <c r="AX173" i="3"/>
  <c r="AW175" i="3"/>
  <c r="X10" i="3"/>
  <c r="Y7" i="3" s="1"/>
  <c r="BC471" i="3"/>
  <c r="BD470" i="3"/>
  <c r="BE470" i="3" s="1"/>
  <c r="BF470" i="3" s="1"/>
  <c r="BG470" i="3" s="1"/>
  <c r="BH470" i="3" s="1"/>
  <c r="BI470" i="3" s="1"/>
  <c r="BJ470" i="3" s="1"/>
  <c r="BK470" i="3" s="1"/>
  <c r="BD218" i="3"/>
  <c r="BD219" i="3" s="1"/>
  <c r="BK245" i="3"/>
  <c r="AB20" i="3"/>
  <c r="AB21" i="3" s="1"/>
  <c r="AB23" i="3"/>
  <c r="AB19" i="3"/>
  <c r="AV141" i="3"/>
  <c r="AV146" i="3" s="1"/>
  <c r="AV143" i="3"/>
  <c r="AV144" i="3" a="1"/>
  <c r="AV144" i="3" s="1"/>
  <c r="AQ107" i="3"/>
  <c r="AQ109" i="3" s="1"/>
  <c r="AR106" i="3" s="1"/>
  <c r="AQ105" i="3"/>
  <c r="AQ113" i="3" s="1"/>
  <c r="BA151" i="3"/>
  <c r="AZ157" i="3"/>
  <c r="AB40" i="3"/>
  <c r="AC34" i="3"/>
  <c r="AB39" i="3"/>
  <c r="AC28" i="3"/>
  <c r="AD25" i="3" s="1"/>
  <c r="AF42" i="3"/>
  <c r="AF47" i="3" s="1"/>
  <c r="AF44" i="3"/>
  <c r="AF45" i="3" a="1"/>
  <c r="AF45" i="3" s="1"/>
  <c r="AM86" i="3"/>
  <c r="AM82" i="3"/>
  <c r="BD217" i="3"/>
  <c r="BE214" i="3" s="1"/>
  <c r="BC472" i="3"/>
  <c r="AU133" i="3"/>
  <c r="AT139" i="3"/>
  <c r="AI63" i="3" a="1"/>
  <c r="AI63" i="3" s="1"/>
  <c r="AI60" i="3"/>
  <c r="AI65" i="3" s="1"/>
  <c r="AI62" i="3"/>
  <c r="AS122" i="3"/>
  <c r="AS120" i="3"/>
  <c r="AJ69" i="3"/>
  <c r="AJ74" i="3" s="1"/>
  <c r="AJ71" i="3"/>
  <c r="AJ72" i="3" a="1"/>
  <c r="AJ72" i="3" s="1"/>
  <c r="AS118" i="3"/>
  <c r="AT131" i="3"/>
  <c r="AT138" i="3"/>
  <c r="AC32" i="3"/>
  <c r="BD479" i="3" a="1"/>
  <c r="BD479" i="3" s="1"/>
  <c r="BE479" i="3" s="1"/>
  <c r="BF479" i="3" s="1"/>
  <c r="BG479" i="3" s="1"/>
  <c r="BH479" i="3" s="1"/>
  <c r="BI479" i="3" s="1"/>
  <c r="BJ479" i="3" s="1"/>
  <c r="BK479" i="3" s="1"/>
  <c r="BD390" i="3"/>
  <c r="BD391" i="3"/>
  <c r="BD300" i="3"/>
  <c r="BD301" i="3"/>
  <c r="BD418" i="3"/>
  <c r="BD417" i="3"/>
  <c r="BD246" i="3"/>
  <c r="BD247" i="3"/>
  <c r="BD291" i="3"/>
  <c r="BD292" i="3"/>
  <c r="BD400" i="3"/>
  <c r="BD399" i="3"/>
  <c r="BD363" i="3"/>
  <c r="BD364" i="3"/>
  <c r="BD264" i="3"/>
  <c r="BD265" i="3"/>
  <c r="BD210" i="3"/>
  <c r="BD211" i="3"/>
  <c r="BD228" i="3"/>
  <c r="BD229" i="3"/>
  <c r="BD237" i="3"/>
  <c r="BD238" i="3"/>
  <c r="BD453" i="3"/>
  <c r="BD454" i="3"/>
  <c r="BD455" i="3" s="1"/>
  <c r="BD309" i="3"/>
  <c r="BD310" i="3"/>
  <c r="BD336" i="3"/>
  <c r="BD337" i="3"/>
  <c r="BD318" i="3"/>
  <c r="BD319" i="3"/>
  <c r="BD373" i="3"/>
  <c r="BD372" i="3"/>
  <c r="BD382" i="3"/>
  <c r="BD381" i="3"/>
  <c r="BD282" i="3"/>
  <c r="BD283" i="3"/>
  <c r="BD273" i="3"/>
  <c r="BD274" i="3"/>
  <c r="BD435" i="3"/>
  <c r="BD436" i="3"/>
  <c r="BD427" i="3"/>
  <c r="BD428" i="3" s="1"/>
  <c r="BD426" i="3"/>
  <c r="BD345" i="3"/>
  <c r="BD346" i="3"/>
  <c r="BD201" i="3"/>
  <c r="BD202" i="3"/>
  <c r="BD255" i="3"/>
  <c r="BD256" i="3"/>
  <c r="BD462" i="3"/>
  <c r="BD463" i="3"/>
  <c r="BD444" i="3"/>
  <c r="BD445" i="3"/>
  <c r="BD328" i="3"/>
  <c r="BD327" i="3"/>
  <c r="BD355" i="3"/>
  <c r="BD354" i="3"/>
  <c r="BD409" i="3"/>
  <c r="BD408" i="3"/>
  <c r="X12" i="3"/>
  <c r="X2" i="3" s="1"/>
  <c r="AD14" i="2"/>
  <c r="BK18" i="4"/>
  <c r="BK29" i="6" s="1"/>
  <c r="BK16" i="4"/>
  <c r="BK27" i="6" s="1"/>
  <c r="K14" i="2"/>
  <c r="L14" i="2"/>
  <c r="M15" i="6"/>
  <c r="P14" i="2"/>
  <c r="P15" i="2" s="1"/>
  <c r="P21" i="2" s="1"/>
  <c r="O14" i="2"/>
  <c r="O15" i="2" s="1"/>
  <c r="O21" i="2" s="1"/>
  <c r="R14" i="2"/>
  <c r="R15" i="2" s="1"/>
  <c r="R21" i="2" s="1"/>
  <c r="Q14" i="2"/>
  <c r="Q15" i="2" s="1"/>
  <c r="Q21" i="2" s="1"/>
  <c r="T14" i="2"/>
  <c r="T15" i="2" s="1"/>
  <c r="T21" i="2" s="1"/>
  <c r="S14" i="2"/>
  <c r="S15" i="2" s="1"/>
  <c r="S21" i="2" s="1"/>
  <c r="U14" i="2"/>
  <c r="U15" i="2" s="1"/>
  <c r="U21" i="2" s="1"/>
  <c r="V14" i="2"/>
  <c r="W14" i="2"/>
  <c r="X14" i="2"/>
  <c r="Y14" i="2"/>
  <c r="Z14" i="2"/>
  <c r="AA14" i="2"/>
  <c r="AC14" i="2"/>
  <c r="L11" i="2"/>
  <c r="L17" i="6" s="1"/>
  <c r="M11" i="2"/>
  <c r="M17" i="6" s="1"/>
  <c r="O11" i="2"/>
  <c r="O17" i="6" s="1"/>
  <c r="P11" i="2"/>
  <c r="P17" i="6" s="1"/>
  <c r="Q11" i="2"/>
  <c r="Q17" i="6" s="1"/>
  <c r="R11" i="2"/>
  <c r="R17" i="6" s="1"/>
  <c r="S11" i="2"/>
  <c r="S17" i="6" s="1"/>
  <c r="T11" i="2"/>
  <c r="T17" i="6" s="1"/>
  <c r="U11" i="2"/>
  <c r="U17" i="6" s="1"/>
  <c r="BL29" i="5"/>
  <c r="BK18" i="7"/>
  <c r="BL25" i="5"/>
  <c r="BK16" i="7"/>
  <c r="BK28" i="4"/>
  <c r="BK35" i="6" s="1"/>
  <c r="BJ15" i="7"/>
  <c r="BK22" i="5"/>
  <c r="BK27" i="4" s="1"/>
  <c r="BK34" i="6" s="1"/>
  <c r="BL5" i="2"/>
  <c r="BK5" i="4"/>
  <c r="BK20" i="6" s="1"/>
  <c r="BJ20" i="6"/>
  <c r="BK8" i="2"/>
  <c r="BH200" i="3" l="1"/>
  <c r="AG55" i="3"/>
  <c r="AH52" i="3" s="1"/>
  <c r="AH51" i="3" s="1"/>
  <c r="X13" i="3"/>
  <c r="X3" i="3" s="1"/>
  <c r="AE22" i="2" s="1"/>
  <c r="AE14" i="6" s="1"/>
  <c r="BG209" i="3"/>
  <c r="AG56" i="3"/>
  <c r="AG57" i="3" s="1"/>
  <c r="BH222" i="3"/>
  <c r="BH230" i="3" s="1"/>
  <c r="BH225" i="3" a="1"/>
  <c r="BH225" i="3" s="1"/>
  <c r="BH226" i="3" s="1"/>
  <c r="BI223" i="3" s="1"/>
  <c r="AL94" i="3"/>
  <c r="BG231" i="3"/>
  <c r="BG236" i="3" s="1"/>
  <c r="BG234" i="3" a="1"/>
  <c r="BG234" i="3" s="1"/>
  <c r="BG235" i="3" s="1"/>
  <c r="BH232" i="3" s="1"/>
  <c r="AX175" i="3"/>
  <c r="BK17" i="7"/>
  <c r="BL28" i="5"/>
  <c r="T15" i="6"/>
  <c r="U15" i="6"/>
  <c r="S15" i="6"/>
  <c r="Q15" i="6"/>
  <c r="O15" i="6"/>
  <c r="P15" i="6"/>
  <c r="R15" i="6"/>
  <c r="AT127" i="3"/>
  <c r="AU124" i="3" s="1"/>
  <c r="AP99" i="3" a="1"/>
  <c r="AP99" i="3" s="1"/>
  <c r="AP98" i="3"/>
  <c r="AP96" i="3"/>
  <c r="BK13" i="6"/>
  <c r="BK17" i="4"/>
  <c r="BK28" i="6" s="1"/>
  <c r="BK31" i="6" s="1"/>
  <c r="BK6" i="4"/>
  <c r="BL19" i="2"/>
  <c r="BO6" i="2"/>
  <c r="BO13" i="2" s="1"/>
  <c r="BB187" i="3"/>
  <c r="BA193" i="3"/>
  <c r="BD472" i="3"/>
  <c r="BA177" i="3"/>
  <c r="BA179" i="3"/>
  <c r="BA180" i="3" a="1"/>
  <c r="BA180" i="3" s="1"/>
  <c r="BH206" i="3"/>
  <c r="BH208" i="3" s="1"/>
  <c r="BI205" i="3" s="1"/>
  <c r="BI204" i="3" s="1"/>
  <c r="BI212" i="3" s="1"/>
  <c r="AY162" i="3" a="1"/>
  <c r="AY162" i="3" s="1"/>
  <c r="AY159" i="3"/>
  <c r="AY161" i="3"/>
  <c r="AQ110" i="3"/>
  <c r="AQ111" i="3" s="1"/>
  <c r="BD480" i="3"/>
  <c r="BH204" i="3"/>
  <c r="BH212" i="3" s="1"/>
  <c r="BD481" i="3"/>
  <c r="AM87" i="3"/>
  <c r="AM89" i="3"/>
  <c r="AM90" i="3" a="1"/>
  <c r="AM90" i="3" s="1"/>
  <c r="AP111" i="3"/>
  <c r="AX174" i="3"/>
  <c r="BG239" i="3"/>
  <c r="AP112" i="3"/>
  <c r="BD220" i="3"/>
  <c r="AC16" i="3"/>
  <c r="AB22" i="3"/>
  <c r="AV145" i="3"/>
  <c r="AV149" i="3"/>
  <c r="AV147" i="3"/>
  <c r="BD471" i="3"/>
  <c r="AR105" i="3"/>
  <c r="AR113" i="3" s="1"/>
  <c r="AR107" i="3"/>
  <c r="AR108" i="3" a="1"/>
  <c r="AR108" i="3" s="1"/>
  <c r="AI64" i="3"/>
  <c r="AJ61" i="3" s="1"/>
  <c r="BA150" i="3"/>
  <c r="BA155" i="3" s="1"/>
  <c r="BA153" i="3" a="1"/>
  <c r="BA153" i="3" s="1"/>
  <c r="BA152" i="3"/>
  <c r="AC35" i="3"/>
  <c r="AC36" i="3" a="1"/>
  <c r="AC36" i="3" s="1"/>
  <c r="AC33" i="3"/>
  <c r="AC38" i="3" s="1"/>
  <c r="BI198" i="3" a="1"/>
  <c r="BI198" i="3" s="1"/>
  <c r="BI195" i="3"/>
  <c r="BI197" i="3"/>
  <c r="AJ73" i="3"/>
  <c r="AI68" i="3"/>
  <c r="AI66" i="3"/>
  <c r="AJ77" i="3"/>
  <c r="AJ75" i="3"/>
  <c r="AF46" i="3"/>
  <c r="AU134" i="3"/>
  <c r="AU135" i="3" a="1"/>
  <c r="AU135" i="3" s="1"/>
  <c r="AU132" i="3"/>
  <c r="AU137" i="3" s="1"/>
  <c r="AS121" i="3"/>
  <c r="AT115" i="3"/>
  <c r="AF50" i="3"/>
  <c r="AD27" i="3" a="1"/>
  <c r="AD27" i="3" s="1"/>
  <c r="AD26" i="3"/>
  <c r="AD24" i="3"/>
  <c r="AC31" i="3"/>
  <c r="AM84" i="3"/>
  <c r="AC30" i="3"/>
  <c r="BE213" i="3"/>
  <c r="BE218" i="3" s="1"/>
  <c r="BE216" i="3" a="1"/>
  <c r="BE216" i="3" s="1"/>
  <c r="BE215" i="3"/>
  <c r="AY170" i="3"/>
  <c r="AY171" i="3" a="1"/>
  <c r="AY171" i="3" s="1"/>
  <c r="AY168" i="3"/>
  <c r="AY173" i="3" s="1"/>
  <c r="AN79" i="3"/>
  <c r="AM85" i="3"/>
  <c r="BE488" i="3" a="1"/>
  <c r="BE488" i="3" s="1"/>
  <c r="BE462" i="3"/>
  <c r="BE463" i="3"/>
  <c r="BE464" i="3" s="1"/>
  <c r="BE436" i="3"/>
  <c r="BE437" i="3" s="1"/>
  <c r="BE435" i="3"/>
  <c r="BE471" i="3"/>
  <c r="BE472" i="3"/>
  <c r="BE291" i="3"/>
  <c r="BE292" i="3"/>
  <c r="BE418" i="3"/>
  <c r="BE417" i="3"/>
  <c r="BE318" i="3"/>
  <c r="BE319" i="3"/>
  <c r="BE238" i="3"/>
  <c r="BE237" i="3"/>
  <c r="BE210" i="3"/>
  <c r="BE211" i="3"/>
  <c r="BE247" i="3"/>
  <c r="BE246" i="3"/>
  <c r="BE354" i="3"/>
  <c r="BE355" i="3"/>
  <c r="BE346" i="3"/>
  <c r="BE345" i="3"/>
  <c r="BE373" i="3"/>
  <c r="BE372" i="3"/>
  <c r="BE309" i="3"/>
  <c r="BE310" i="3"/>
  <c r="BE364" i="3"/>
  <c r="BE363" i="3"/>
  <c r="BE399" i="3"/>
  <c r="BE400" i="3"/>
  <c r="BE300" i="3"/>
  <c r="BE301" i="3"/>
  <c r="BE481" i="3"/>
  <c r="BE480" i="3"/>
  <c r="BE255" i="3"/>
  <c r="BE256" i="3"/>
  <c r="BE336" i="3"/>
  <c r="BE337" i="3"/>
  <c r="BE229" i="3"/>
  <c r="BE228" i="3"/>
  <c r="BE445" i="3"/>
  <c r="BE444" i="3"/>
  <c r="BE426" i="3"/>
  <c r="BE427" i="3"/>
  <c r="BE454" i="3"/>
  <c r="BE453" i="3"/>
  <c r="BE390" i="3"/>
  <c r="BE391" i="3"/>
  <c r="BE273" i="3"/>
  <c r="BE274" i="3"/>
  <c r="BE282" i="3"/>
  <c r="BE283" i="3"/>
  <c r="BE408" i="3"/>
  <c r="BE409" i="3"/>
  <c r="BE327" i="3"/>
  <c r="BE328" i="3"/>
  <c r="BE201" i="3"/>
  <c r="BE202" i="3"/>
  <c r="BE382" i="3"/>
  <c r="BE381" i="3"/>
  <c r="BE264" i="3"/>
  <c r="BE265" i="3"/>
  <c r="Y9" i="3" a="1"/>
  <c r="Y9" i="3" s="1"/>
  <c r="Y8" i="3"/>
  <c r="Y6" i="3"/>
  <c r="Y11" i="3" s="1"/>
  <c r="L15" i="2"/>
  <c r="L21" i="2" s="1"/>
  <c r="E14" i="2"/>
  <c r="BL16" i="4"/>
  <c r="BL27" i="6" s="1"/>
  <c r="BL18" i="4"/>
  <c r="BL29" i="6" s="1"/>
  <c r="T10" i="4"/>
  <c r="K11" i="4"/>
  <c r="U10" i="4"/>
  <c r="S10" i="4"/>
  <c r="T16" i="2"/>
  <c r="U16" i="2"/>
  <c r="R16" i="2"/>
  <c r="P16" i="2"/>
  <c r="Q16" i="2"/>
  <c r="S16" i="2"/>
  <c r="O16" i="2"/>
  <c r="N11" i="2"/>
  <c r="N17" i="6" s="1"/>
  <c r="K11" i="2"/>
  <c r="P10" i="4"/>
  <c r="O10" i="4"/>
  <c r="M10" i="4"/>
  <c r="R10" i="4"/>
  <c r="Q10" i="4"/>
  <c r="L10" i="4"/>
  <c r="BK15" i="7"/>
  <c r="BL22" i="5"/>
  <c r="BL27" i="4" s="1"/>
  <c r="BL34" i="6" s="1"/>
  <c r="BM29" i="5"/>
  <c r="BL18" i="7"/>
  <c r="BM25" i="5"/>
  <c r="BL16" i="7"/>
  <c r="BL28" i="4"/>
  <c r="BL35" i="6" s="1"/>
  <c r="BM5" i="2"/>
  <c r="BL5" i="4"/>
  <c r="BL8" i="2"/>
  <c r="AH54" i="3" l="1" a="1"/>
  <c r="AH54" i="3" s="1"/>
  <c r="AH53" i="3"/>
  <c r="AG58" i="3"/>
  <c r="AH55" i="3"/>
  <c r="AH56" i="3"/>
  <c r="AH57" i="3" s="1"/>
  <c r="AH59" i="3"/>
  <c r="BH227" i="3"/>
  <c r="BI225" i="3" a="1"/>
  <c r="BI225" i="3" s="1"/>
  <c r="BI222" i="3"/>
  <c r="BI224" i="3"/>
  <c r="AT130" i="3"/>
  <c r="AP100" i="3"/>
  <c r="AQ97" i="3" s="1"/>
  <c r="AQ99" i="3" s="1" a="1"/>
  <c r="AQ99" i="3" s="1"/>
  <c r="BL17" i="7"/>
  <c r="BM28" i="5"/>
  <c r="L15" i="6"/>
  <c r="U16" i="6"/>
  <c r="U13" i="4"/>
  <c r="O16" i="6"/>
  <c r="O13" i="4"/>
  <c r="M16" i="6"/>
  <c r="M13" i="4"/>
  <c r="S16" i="6"/>
  <c r="S13" i="4"/>
  <c r="N16" i="6"/>
  <c r="N13" i="4"/>
  <c r="R16" i="6"/>
  <c r="R13" i="4"/>
  <c r="Q16" i="6"/>
  <c r="Q13" i="4"/>
  <c r="T16" i="6"/>
  <c r="T13" i="4"/>
  <c r="P16" i="6"/>
  <c r="P13" i="4"/>
  <c r="AP101" i="3"/>
  <c r="AP102" i="3" s="1"/>
  <c r="AP104" i="3"/>
  <c r="BB186" i="3"/>
  <c r="BB189" i="3" a="1"/>
  <c r="BB189" i="3" s="1"/>
  <c r="BB188" i="3"/>
  <c r="BL13" i="6"/>
  <c r="BL17" i="4"/>
  <c r="BL28" i="6" s="1"/>
  <c r="BL31" i="6" s="1"/>
  <c r="BL6" i="4"/>
  <c r="BL21" i="6" s="1"/>
  <c r="BP6" i="2"/>
  <c r="BP13" i="2" s="1"/>
  <c r="BM19" i="2"/>
  <c r="BI206" i="3"/>
  <c r="BI207" i="3" a="1"/>
  <c r="BI207" i="3" s="1"/>
  <c r="BA181" i="3"/>
  <c r="BH209" i="3"/>
  <c r="BI209" i="3" s="1"/>
  <c r="BA182" i="3"/>
  <c r="BA185" i="3"/>
  <c r="AY163" i="3"/>
  <c r="AZ160" i="3" s="1"/>
  <c r="AZ161" i="3" s="1"/>
  <c r="AY164" i="3"/>
  <c r="AY165" i="3" s="1"/>
  <c r="AY167" i="3"/>
  <c r="BA154" i="3"/>
  <c r="BB151" i="3" s="1"/>
  <c r="AR109" i="3"/>
  <c r="AS106" i="3" s="1"/>
  <c r="AM91" i="3"/>
  <c r="AM95" i="3"/>
  <c r="AM92" i="3"/>
  <c r="AM93" i="3" s="1"/>
  <c r="BI203" i="3"/>
  <c r="BI200" i="3"/>
  <c r="BE489" i="3"/>
  <c r="BF488" i="3"/>
  <c r="BG488" i="3" s="1"/>
  <c r="BH488" i="3" s="1"/>
  <c r="BI488" i="3" s="1"/>
  <c r="BJ488" i="3" s="1"/>
  <c r="BK488" i="3" s="1"/>
  <c r="AR110" i="3"/>
  <c r="AC17" i="3"/>
  <c r="AC15" i="3"/>
  <c r="AC18" i="3" a="1"/>
  <c r="AC18" i="3" s="1"/>
  <c r="AD32" i="3"/>
  <c r="AD29" i="3"/>
  <c r="BI199" i="3"/>
  <c r="BJ196" i="3" s="1"/>
  <c r="BJ198" i="3" s="1" a="1"/>
  <c r="BJ198" i="3" s="1"/>
  <c r="BE217" i="3"/>
  <c r="BF214" i="3" s="1"/>
  <c r="BF213" i="3" s="1"/>
  <c r="AI67" i="3"/>
  <c r="AW142" i="3"/>
  <c r="AV148" i="3"/>
  <c r="AC41" i="3"/>
  <c r="AC39" i="3"/>
  <c r="AC37" i="3"/>
  <c r="AQ112" i="3"/>
  <c r="BA158" i="3"/>
  <c r="AD28" i="3"/>
  <c r="AE25" i="3" s="1"/>
  <c r="BE490" i="3"/>
  <c r="BH233" i="3"/>
  <c r="BH234" i="3" a="1"/>
  <c r="BH234" i="3" s="1"/>
  <c r="BH231" i="3"/>
  <c r="BH239" i="3" s="1"/>
  <c r="AF48" i="3"/>
  <c r="AJ63" i="3" a="1"/>
  <c r="AJ63" i="3" s="1"/>
  <c r="AJ60" i="3"/>
  <c r="AJ62" i="3"/>
  <c r="BE221" i="3"/>
  <c r="AU125" i="3"/>
  <c r="AU123" i="3"/>
  <c r="AU128" i="3" s="1"/>
  <c r="AU126" i="3" a="1"/>
  <c r="AU126" i="3" s="1"/>
  <c r="AJ76" i="3"/>
  <c r="AK70" i="3"/>
  <c r="AU140" i="3"/>
  <c r="AU138" i="3"/>
  <c r="AN80" i="3"/>
  <c r="AN78" i="3"/>
  <c r="AN83" i="3" s="1"/>
  <c r="AN81" i="3" a="1"/>
  <c r="AN81" i="3" s="1"/>
  <c r="AY176" i="3"/>
  <c r="AT117" i="3" a="1"/>
  <c r="AT117" i="3" s="1"/>
  <c r="AT114" i="3"/>
  <c r="AT119" i="3" s="1"/>
  <c r="AT116" i="3"/>
  <c r="AU136" i="3"/>
  <c r="AY172" i="3"/>
  <c r="AF49" i="3"/>
  <c r="AG43" i="3"/>
  <c r="BF497" i="3" a="1"/>
  <c r="BF497" i="3" s="1"/>
  <c r="BF265" i="3"/>
  <c r="BF264" i="3"/>
  <c r="BF327" i="3"/>
  <c r="BF328" i="3"/>
  <c r="BF300" i="3"/>
  <c r="BF301" i="3"/>
  <c r="BF247" i="3"/>
  <c r="BF246" i="3"/>
  <c r="BF237" i="3"/>
  <c r="BF238" i="3"/>
  <c r="BF472" i="3"/>
  <c r="BF473" i="3" s="1"/>
  <c r="BF471" i="3"/>
  <c r="BF381" i="3"/>
  <c r="BF382" i="3"/>
  <c r="BF228" i="3"/>
  <c r="BF229" i="3"/>
  <c r="BF318" i="3"/>
  <c r="BF319" i="3"/>
  <c r="BF436" i="3"/>
  <c r="BF435" i="3"/>
  <c r="BF373" i="3"/>
  <c r="BF372" i="3"/>
  <c r="BF409" i="3"/>
  <c r="BF408" i="3"/>
  <c r="BF481" i="3"/>
  <c r="BF480" i="3"/>
  <c r="BF346" i="3"/>
  <c r="BF345" i="3"/>
  <c r="BF274" i="3"/>
  <c r="BF273" i="3"/>
  <c r="BF426" i="3"/>
  <c r="BF427" i="3"/>
  <c r="BF336" i="3"/>
  <c r="BF337" i="3"/>
  <c r="BF399" i="3"/>
  <c r="BF400" i="3"/>
  <c r="BF211" i="3"/>
  <c r="BF210" i="3"/>
  <c r="BF202" i="3"/>
  <c r="BF201" i="3"/>
  <c r="BF390" i="3"/>
  <c r="BF391" i="3"/>
  <c r="BF309" i="3"/>
  <c r="BF310" i="3"/>
  <c r="BF417" i="3"/>
  <c r="BF418" i="3"/>
  <c r="BF462" i="3"/>
  <c r="BF463" i="3"/>
  <c r="BF453" i="3"/>
  <c r="BF454" i="3"/>
  <c r="BF256" i="3"/>
  <c r="BF255" i="3"/>
  <c r="BF354" i="3"/>
  <c r="BF355" i="3"/>
  <c r="BF291" i="3"/>
  <c r="BF292" i="3"/>
  <c r="BF283" i="3"/>
  <c r="BF282" i="3"/>
  <c r="BF444" i="3"/>
  <c r="BF445" i="3"/>
  <c r="BF446" i="3" s="1"/>
  <c r="BF364" i="3"/>
  <c r="BF363" i="3"/>
  <c r="Y14" i="3"/>
  <c r="Y4" i="3" s="1"/>
  <c r="Y10" i="3"/>
  <c r="AE14" i="2"/>
  <c r="L16" i="2"/>
  <c r="E14" i="6"/>
  <c r="K17" i="6"/>
  <c r="BM16" i="4"/>
  <c r="BM27" i="6" s="1"/>
  <c r="BM18" i="4"/>
  <c r="BM29" i="6" s="1"/>
  <c r="N10" i="4"/>
  <c r="K15" i="2"/>
  <c r="BN25" i="5"/>
  <c r="BM16" i="7"/>
  <c r="BM28" i="4"/>
  <c r="BM35" i="6" s="1"/>
  <c r="BN29" i="5"/>
  <c r="BM18" i="7"/>
  <c r="BL15" i="7"/>
  <c r="BM22" i="5"/>
  <c r="BM27" i="4" s="1"/>
  <c r="BM34" i="6" s="1"/>
  <c r="BN5" i="2"/>
  <c r="BM5" i="4"/>
  <c r="BM20" i="6" s="1"/>
  <c r="BL20" i="6"/>
  <c r="BK21" i="6"/>
  <c r="BM8" i="2"/>
  <c r="AH58" i="3" l="1"/>
  <c r="AI52" i="3"/>
  <c r="BI226" i="3"/>
  <c r="BJ223" i="3" s="1"/>
  <c r="AQ98" i="3"/>
  <c r="AQ100" i="3" s="1"/>
  <c r="AQ96" i="3"/>
  <c r="AQ104" i="3" s="1"/>
  <c r="BJ195" i="3"/>
  <c r="BJ203" i="3" s="1"/>
  <c r="BI230" i="3"/>
  <c r="BI227" i="3"/>
  <c r="AP103" i="3"/>
  <c r="BM17" i="7"/>
  <c r="BN28" i="5"/>
  <c r="K15" i="6"/>
  <c r="K21" i="2"/>
  <c r="K23" i="2" s="1"/>
  <c r="K6" i="5" s="1"/>
  <c r="L16" i="6"/>
  <c r="L13" i="4"/>
  <c r="BB190" i="3"/>
  <c r="BC187" i="3" s="1"/>
  <c r="BI208" i="3"/>
  <c r="BJ205" i="3" s="1"/>
  <c r="BJ204" i="3" s="1"/>
  <c r="BM13" i="6"/>
  <c r="BM17" i="4"/>
  <c r="BM28" i="6" s="1"/>
  <c r="BM31" i="6" s="1"/>
  <c r="BM6" i="4"/>
  <c r="BM21" i="6" s="1"/>
  <c r="BQ6" i="2"/>
  <c r="BQ13" i="2" s="1"/>
  <c r="BN19" i="2"/>
  <c r="BF216" i="3" a="1"/>
  <c r="BF216" i="3" s="1"/>
  <c r="BB194" i="3"/>
  <c r="BB191" i="3"/>
  <c r="BA157" i="3"/>
  <c r="AZ159" i="3"/>
  <c r="AZ167" i="3" s="1"/>
  <c r="AZ162" i="3" a="1"/>
  <c r="AZ162" i="3" s="1"/>
  <c r="AZ163" i="3" s="1"/>
  <c r="BA160" i="3" s="1"/>
  <c r="AY166" i="3"/>
  <c r="BB178" i="3"/>
  <c r="BA184" i="3"/>
  <c r="BA183" i="3"/>
  <c r="AR112" i="3"/>
  <c r="BF489" i="3"/>
  <c r="AM94" i="3"/>
  <c r="AN88" i="3"/>
  <c r="BF221" i="3"/>
  <c r="BF218" i="3"/>
  <c r="BH236" i="3"/>
  <c r="BF498" i="3"/>
  <c r="BG497" i="3"/>
  <c r="BH497" i="3" s="1"/>
  <c r="BI497" i="3" s="1"/>
  <c r="BJ497" i="3" s="1"/>
  <c r="BK497" i="3" s="1"/>
  <c r="BJ197" i="3"/>
  <c r="BJ199" i="3" s="1"/>
  <c r="BK196" i="3" s="1"/>
  <c r="BK197" i="3" s="1"/>
  <c r="AJ68" i="3"/>
  <c r="AJ65" i="3"/>
  <c r="BF215" i="3"/>
  <c r="AR111" i="3"/>
  <c r="AC20" i="3"/>
  <c r="AC21" i="3" s="1"/>
  <c r="AC23" i="3"/>
  <c r="AC19" i="3"/>
  <c r="Y12" i="3"/>
  <c r="Y2" i="3" s="1"/>
  <c r="Y5" i="3"/>
  <c r="BF490" i="3"/>
  <c r="AW144" i="3" a="1"/>
  <c r="AW144" i="3" s="1"/>
  <c r="AW141" i="3"/>
  <c r="AW146" i="3" s="1"/>
  <c r="AW143" i="3"/>
  <c r="BB152" i="3"/>
  <c r="BB150" i="3"/>
  <c r="BB153" i="3" a="1"/>
  <c r="BB153" i="3" s="1"/>
  <c r="AC40" i="3"/>
  <c r="AD34" i="3"/>
  <c r="BA156" i="3"/>
  <c r="AU127" i="3"/>
  <c r="AV124" i="3" s="1"/>
  <c r="AV123" i="3" s="1"/>
  <c r="AV131" i="3" s="1"/>
  <c r="AN82" i="3"/>
  <c r="AO79" i="3" s="1"/>
  <c r="AJ64" i="3"/>
  <c r="AK61" i="3" s="1"/>
  <c r="AK63" i="3" s="1" a="1"/>
  <c r="AK63" i="3" s="1"/>
  <c r="AU139" i="3"/>
  <c r="AV133" i="3"/>
  <c r="AU131" i="3"/>
  <c r="AU129" i="3"/>
  <c r="AS105" i="3"/>
  <c r="AS110" i="3" s="1"/>
  <c r="AS108" i="3" a="1"/>
  <c r="AS108" i="3" s="1"/>
  <c r="AS107" i="3"/>
  <c r="AD31" i="3"/>
  <c r="BH235" i="3"/>
  <c r="BI232" i="3" s="1"/>
  <c r="BF499" i="3"/>
  <c r="AG42" i="3"/>
  <c r="AG47" i="3" s="1"/>
  <c r="AG44" i="3"/>
  <c r="AG45" i="3" a="1"/>
  <c r="AG45" i="3" s="1"/>
  <c r="AE24" i="3"/>
  <c r="AE32" i="3" s="1"/>
  <c r="AE27" i="3" a="1"/>
  <c r="AE27" i="3" s="1"/>
  <c r="AE26" i="3"/>
  <c r="AY175" i="3"/>
  <c r="AZ169" i="3"/>
  <c r="BE219" i="3"/>
  <c r="BE220" i="3"/>
  <c r="AD30" i="3"/>
  <c r="AK69" i="3"/>
  <c r="AK74" i="3" s="1"/>
  <c r="AK72" i="3" a="1"/>
  <c r="AK72" i="3" s="1"/>
  <c r="AK71" i="3"/>
  <c r="AT122" i="3"/>
  <c r="AY174" i="3"/>
  <c r="AT118" i="3"/>
  <c r="AN86" i="3"/>
  <c r="BG506" i="3" a="1"/>
  <c r="BG506" i="3" s="1"/>
  <c r="BG363" i="3"/>
  <c r="BG364" i="3"/>
  <c r="BG255" i="3"/>
  <c r="BG256" i="3"/>
  <c r="BG427" i="3"/>
  <c r="BG426" i="3"/>
  <c r="BG381" i="3"/>
  <c r="BG382" i="3"/>
  <c r="BG265" i="3"/>
  <c r="BG264" i="3"/>
  <c r="BG283" i="3"/>
  <c r="BG282" i="3"/>
  <c r="BG462" i="3"/>
  <c r="BG463" i="3"/>
  <c r="BG480" i="3"/>
  <c r="BG481" i="3"/>
  <c r="BG482" i="3" s="1"/>
  <c r="BG318" i="3"/>
  <c r="BG319" i="3"/>
  <c r="BG247" i="3"/>
  <c r="BG246" i="3"/>
  <c r="BG400" i="3"/>
  <c r="BG399" i="3"/>
  <c r="BG291" i="3"/>
  <c r="BG292" i="3"/>
  <c r="BG309" i="3"/>
  <c r="BG310" i="3"/>
  <c r="BG408" i="3"/>
  <c r="BG409" i="3"/>
  <c r="BG228" i="3"/>
  <c r="BG229" i="3"/>
  <c r="BG453" i="3"/>
  <c r="BG454" i="3"/>
  <c r="BG455" i="3" s="1"/>
  <c r="BG390" i="3"/>
  <c r="BG391" i="3"/>
  <c r="BG274" i="3"/>
  <c r="BG273" i="3"/>
  <c r="BG373" i="3"/>
  <c r="BG372" i="3"/>
  <c r="BG417" i="3"/>
  <c r="BG418" i="3"/>
  <c r="BG489" i="3"/>
  <c r="BG490" i="3"/>
  <c r="BG345" i="3"/>
  <c r="BG346" i="3"/>
  <c r="BG471" i="3"/>
  <c r="BG472" i="3"/>
  <c r="BG300" i="3"/>
  <c r="BG301" i="3"/>
  <c r="BG354" i="3"/>
  <c r="BG355" i="3"/>
  <c r="BG336" i="3"/>
  <c r="BG337" i="3"/>
  <c r="BG328" i="3"/>
  <c r="BG327" i="3"/>
  <c r="BG444" i="3"/>
  <c r="BG445" i="3"/>
  <c r="BG201" i="3"/>
  <c r="BG202" i="3"/>
  <c r="BG210" i="3"/>
  <c r="BG211" i="3"/>
  <c r="BG436" i="3"/>
  <c r="BG435" i="3"/>
  <c r="BG238" i="3"/>
  <c r="BG237" i="3"/>
  <c r="Y13" i="3"/>
  <c r="Y3" i="3" s="1"/>
  <c r="AF22" i="2" s="1"/>
  <c r="AF14" i="6" s="1"/>
  <c r="Z7" i="3"/>
  <c r="BN18" i="4"/>
  <c r="BN29" i="6" s="1"/>
  <c r="BN16" i="4"/>
  <c r="BN27" i="6" s="1"/>
  <c r="K16" i="2"/>
  <c r="BO29" i="5"/>
  <c r="BN18" i="7"/>
  <c r="BO25" i="5"/>
  <c r="BN16" i="7"/>
  <c r="BN28" i="4"/>
  <c r="BN35" i="6" s="1"/>
  <c r="BM15" i="7"/>
  <c r="BN22" i="5"/>
  <c r="BN27" i="4" s="1"/>
  <c r="BN34" i="6" s="1"/>
  <c r="BO5" i="2"/>
  <c r="BN5" i="4"/>
  <c r="BN20" i="6" s="1"/>
  <c r="BN8" i="2"/>
  <c r="AI53" i="3" l="1"/>
  <c r="AI51" i="3"/>
  <c r="AI54" i="3" a="1"/>
  <c r="AI54" i="3" s="1"/>
  <c r="AQ101" i="3"/>
  <c r="AQ102" i="3" s="1"/>
  <c r="BJ222" i="3"/>
  <c r="BJ224" i="3"/>
  <c r="BJ225" i="3" a="1"/>
  <c r="BJ225" i="3" s="1"/>
  <c r="BJ200" i="3"/>
  <c r="BK198" i="3" a="1"/>
  <c r="BK198" i="3" s="1"/>
  <c r="BK199" i="3" s="1"/>
  <c r="BK195" i="3"/>
  <c r="BK203" i="3" s="1"/>
  <c r="BJ207" i="3" a="1"/>
  <c r="BJ207" i="3" s="1"/>
  <c r="BJ206" i="3"/>
  <c r="BN17" i="7"/>
  <c r="BO28" i="5"/>
  <c r="L18" i="2"/>
  <c r="L20" i="2" s="1"/>
  <c r="K7" i="4"/>
  <c r="K24" i="2"/>
  <c r="K8" i="4"/>
  <c r="K16" i="6"/>
  <c r="K19" i="6" s="1"/>
  <c r="K13" i="4"/>
  <c r="BJ212" i="3"/>
  <c r="BJ209" i="3"/>
  <c r="AQ103" i="3"/>
  <c r="AR97" i="3"/>
  <c r="BN17" i="4"/>
  <c r="BN28" i="6" s="1"/>
  <c r="BN31" i="6" s="1"/>
  <c r="BN13" i="6"/>
  <c r="BN6" i="4"/>
  <c r="AZ164" i="3"/>
  <c r="AZ165" i="3" s="1"/>
  <c r="BB192" i="3"/>
  <c r="BO19" i="2"/>
  <c r="BR6" i="2"/>
  <c r="BR13" i="2" s="1"/>
  <c r="BF217" i="3"/>
  <c r="BG214" i="3" s="1"/>
  <c r="BG215" i="3" s="1"/>
  <c r="BB193" i="3"/>
  <c r="BC186" i="3"/>
  <c r="BC194" i="3" s="1"/>
  <c r="BC188" i="3"/>
  <c r="BC189" i="3" a="1"/>
  <c r="BC189" i="3" s="1"/>
  <c r="BA159" i="3"/>
  <c r="BA162" i="3" a="1"/>
  <c r="BA162" i="3" s="1"/>
  <c r="BA161" i="3"/>
  <c r="BB177" i="3"/>
  <c r="BB179" i="3"/>
  <c r="BB180" i="3" a="1"/>
  <c r="BB180" i="3" s="1"/>
  <c r="BG499" i="3"/>
  <c r="BG498" i="3"/>
  <c r="AW145" i="3"/>
  <c r="AX142" i="3" s="1"/>
  <c r="AN89" i="3"/>
  <c r="AN87" i="3"/>
  <c r="AN90" i="3" a="1"/>
  <c r="AN90" i="3" s="1"/>
  <c r="AJ66" i="3"/>
  <c r="BG507" i="3"/>
  <c r="BH506" i="3"/>
  <c r="BI506" i="3" s="1"/>
  <c r="BJ506" i="3" s="1"/>
  <c r="BK506" i="3" s="1"/>
  <c r="BB158" i="3"/>
  <c r="BB155" i="3"/>
  <c r="AV128" i="3"/>
  <c r="AC22" i="3"/>
  <c r="AD16" i="3"/>
  <c r="AE29" i="3"/>
  <c r="AE30" i="3" s="1"/>
  <c r="AK73" i="3"/>
  <c r="AL70" i="3" s="1"/>
  <c r="AL69" i="3" s="1"/>
  <c r="AW149" i="3"/>
  <c r="AW147" i="3"/>
  <c r="BG508" i="3"/>
  <c r="AV126" i="3" a="1"/>
  <c r="AV126" i="3" s="1"/>
  <c r="AV125" i="3"/>
  <c r="AK60" i="3"/>
  <c r="AK68" i="3" s="1"/>
  <c r="AD35" i="3"/>
  <c r="AD36" i="3" a="1"/>
  <c r="AD36" i="3" s="1"/>
  <c r="AD33" i="3"/>
  <c r="AD38" i="3" s="1"/>
  <c r="AK62" i="3"/>
  <c r="AK64" i="3" s="1"/>
  <c r="AL61" i="3" s="1"/>
  <c r="AJ67" i="3"/>
  <c r="BB154" i="3"/>
  <c r="AE28" i="3"/>
  <c r="AF25" i="3" s="1"/>
  <c r="AS109" i="3"/>
  <c r="AT106" i="3" s="1"/>
  <c r="AT108" i="3" s="1" a="1"/>
  <c r="AT108" i="3" s="1"/>
  <c r="AG50" i="3"/>
  <c r="BF219" i="3"/>
  <c r="AN85" i="3"/>
  <c r="AT121" i="3"/>
  <c r="AU115" i="3"/>
  <c r="BI233" i="3"/>
  <c r="BI234" i="3" a="1"/>
  <c r="BI234" i="3" s="1"/>
  <c r="BI231" i="3"/>
  <c r="BI239" i="3" s="1"/>
  <c r="AZ168" i="3"/>
  <c r="AZ173" i="3" s="1"/>
  <c r="AZ170" i="3"/>
  <c r="AZ171" i="3" a="1"/>
  <c r="AZ171" i="3" s="1"/>
  <c r="AK77" i="3"/>
  <c r="AT120" i="3"/>
  <c r="AN84" i="3"/>
  <c r="AV134" i="3"/>
  <c r="AV132" i="3"/>
  <c r="AV137" i="3" s="1"/>
  <c r="AV135" i="3" a="1"/>
  <c r="AV135" i="3" s="1"/>
  <c r="AO81" i="3" a="1"/>
  <c r="AO81" i="3" s="1"/>
  <c r="AO78" i="3"/>
  <c r="AO80" i="3"/>
  <c r="AG46" i="3"/>
  <c r="AU130" i="3"/>
  <c r="AS113" i="3"/>
  <c r="BH515" i="3" a="1"/>
  <c r="BH515" i="3" s="1"/>
  <c r="BH435" i="3"/>
  <c r="BH436" i="3"/>
  <c r="BH202" i="3"/>
  <c r="BH201" i="3"/>
  <c r="BH355" i="3"/>
  <c r="BH354" i="3"/>
  <c r="BH345" i="3"/>
  <c r="BH346" i="3"/>
  <c r="BH418" i="3"/>
  <c r="BH417" i="3"/>
  <c r="BH228" i="3"/>
  <c r="BH229" i="3"/>
  <c r="BH255" i="3"/>
  <c r="BH256" i="3"/>
  <c r="BH247" i="3"/>
  <c r="BH246" i="3"/>
  <c r="BH444" i="3"/>
  <c r="BH445" i="3"/>
  <c r="BH408" i="3"/>
  <c r="BH409" i="3"/>
  <c r="BH399" i="3"/>
  <c r="BH400" i="3"/>
  <c r="BH472" i="3"/>
  <c r="BH471" i="3"/>
  <c r="BH390" i="3"/>
  <c r="BH391" i="3"/>
  <c r="BH318" i="3"/>
  <c r="BH319" i="3"/>
  <c r="BH382" i="3"/>
  <c r="BH381" i="3"/>
  <c r="BH489" i="3"/>
  <c r="BH490" i="3"/>
  <c r="BH491" i="3" s="1"/>
  <c r="BH373" i="3"/>
  <c r="BH372" i="3"/>
  <c r="BH454" i="3"/>
  <c r="BH453" i="3"/>
  <c r="BH309" i="3"/>
  <c r="BH310" i="3"/>
  <c r="BH499" i="3"/>
  <c r="BH498" i="3"/>
  <c r="BH463" i="3"/>
  <c r="BH464" i="3" s="1"/>
  <c r="BH462" i="3"/>
  <c r="BH364" i="3"/>
  <c r="BH363" i="3"/>
  <c r="BH237" i="3"/>
  <c r="BH238" i="3"/>
  <c r="BH336" i="3"/>
  <c r="BH337" i="3"/>
  <c r="BH283" i="3"/>
  <c r="BH282" i="3"/>
  <c r="BH210" i="3"/>
  <c r="BH211" i="3"/>
  <c r="BH327" i="3"/>
  <c r="BH328" i="3"/>
  <c r="BH274" i="3"/>
  <c r="BH273" i="3"/>
  <c r="BH480" i="3"/>
  <c r="BH481" i="3"/>
  <c r="BH426" i="3"/>
  <c r="BH427" i="3"/>
  <c r="BH301" i="3"/>
  <c r="BH300" i="3"/>
  <c r="BH265" i="3"/>
  <c r="BH264" i="3"/>
  <c r="BH291" i="3"/>
  <c r="BH292" i="3"/>
  <c r="Z8" i="3"/>
  <c r="Z6" i="3"/>
  <c r="Z11" i="3" s="1"/>
  <c r="Z9" i="3" a="1"/>
  <c r="Z9" i="3" s="1"/>
  <c r="BO18" i="4"/>
  <c r="BO29" i="6" s="1"/>
  <c r="BO16" i="4"/>
  <c r="BO27" i="6" s="1"/>
  <c r="BN15" i="7"/>
  <c r="BO22" i="5"/>
  <c r="BO27" i="4" s="1"/>
  <c r="BO34" i="6" s="1"/>
  <c r="BP25" i="5"/>
  <c r="BO16" i="7"/>
  <c r="BO28" i="4"/>
  <c r="BO35" i="6" s="1"/>
  <c r="BP29" i="5"/>
  <c r="BO18" i="7"/>
  <c r="BP5" i="2"/>
  <c r="BP19" i="2" s="1"/>
  <c r="I31" i="10"/>
  <c r="BO5" i="4"/>
  <c r="BO20" i="6" s="1"/>
  <c r="BO8" i="2"/>
  <c r="K19" i="4" l="1"/>
  <c r="K20" i="4" s="1"/>
  <c r="K7" i="5"/>
  <c r="AI56" i="3"/>
  <c r="AI57" i="3" s="1"/>
  <c r="AI59" i="3"/>
  <c r="AI55" i="3"/>
  <c r="BJ226" i="3"/>
  <c r="BK223" i="3" s="1"/>
  <c r="BJ230" i="3"/>
  <c r="BJ227" i="3"/>
  <c r="BK200" i="3"/>
  <c r="BF220" i="3"/>
  <c r="BG216" i="3" a="1"/>
  <c r="BG216" i="3" s="1"/>
  <c r="BG217" i="3" s="1"/>
  <c r="BH214" i="3" s="1"/>
  <c r="AL71" i="3"/>
  <c r="BJ208" i="3"/>
  <c r="BK205" i="3" s="1"/>
  <c r="AL72" i="3" a="1"/>
  <c r="AL72" i="3" s="1"/>
  <c r="BG213" i="3"/>
  <c r="BG221" i="3" s="1"/>
  <c r="BO17" i="7"/>
  <c r="BP28" i="5"/>
  <c r="K25" i="2"/>
  <c r="L15" i="4"/>
  <c r="L23" i="2"/>
  <c r="BA164" i="3"/>
  <c r="BA165" i="3" s="1"/>
  <c r="AR96" i="3"/>
  <c r="AR98" i="3"/>
  <c r="AR99" i="3" a="1"/>
  <c r="AR99" i="3" s="1"/>
  <c r="BA163" i="3"/>
  <c r="BB160" i="3" s="1"/>
  <c r="BC190" i="3"/>
  <c r="BC191" i="3"/>
  <c r="BC192" i="3" s="1"/>
  <c r="BA167" i="3"/>
  <c r="BO17" i="4"/>
  <c r="BO28" i="6" s="1"/>
  <c r="BO31" i="6" s="1"/>
  <c r="BO13" i="6"/>
  <c r="BO6" i="4"/>
  <c r="BO21" i="6" s="1"/>
  <c r="BP13" i="6"/>
  <c r="BP17" i="4"/>
  <c r="BP6" i="4"/>
  <c r="AZ166" i="3"/>
  <c r="AV129" i="3"/>
  <c r="AW148" i="3"/>
  <c r="BB181" i="3"/>
  <c r="BB185" i="3"/>
  <c r="BB182" i="3"/>
  <c r="BB183" i="3" s="1"/>
  <c r="AN91" i="3"/>
  <c r="AO88" i="3" s="1"/>
  <c r="BH507" i="3"/>
  <c r="BI524" i="3" a="1"/>
  <c r="BI524" i="3" s="1"/>
  <c r="BJ524" i="3" s="1"/>
  <c r="BK524" i="3" s="1"/>
  <c r="BH508" i="3"/>
  <c r="BI236" i="3"/>
  <c r="BI237" i="3" s="1"/>
  <c r="AN95" i="3"/>
  <c r="AN92" i="3"/>
  <c r="AL77" i="3"/>
  <c r="AL74" i="3"/>
  <c r="AT107" i="3"/>
  <c r="AT109" i="3" s="1"/>
  <c r="AU106" i="3" s="1"/>
  <c r="AU108" i="3" s="1" a="1"/>
  <c r="AU108" i="3" s="1"/>
  <c r="AO86" i="3"/>
  <c r="AO83" i="3"/>
  <c r="AT105" i="3"/>
  <c r="BB156" i="3"/>
  <c r="BH516" i="3"/>
  <c r="BI515" i="3"/>
  <c r="BJ515" i="3" s="1"/>
  <c r="BK515" i="3" s="1"/>
  <c r="AK65" i="3"/>
  <c r="AK67" i="3" s="1"/>
  <c r="AD17" i="3"/>
  <c r="AD15" i="3"/>
  <c r="AD18" i="3" a="1"/>
  <c r="AD18" i="3" s="1"/>
  <c r="AX143" i="3"/>
  <c r="AX144" i="3" a="1"/>
  <c r="AX144" i="3" s="1"/>
  <c r="AX141" i="3"/>
  <c r="BH517" i="3"/>
  <c r="AV127" i="3"/>
  <c r="AW124" i="3" s="1"/>
  <c r="AW125" i="3" s="1"/>
  <c r="AV136" i="3"/>
  <c r="AV139" i="3" s="1"/>
  <c r="AD41" i="3"/>
  <c r="AD39" i="3"/>
  <c r="AD37" i="3"/>
  <c r="AE34" i="3" s="1"/>
  <c r="BC151" i="3"/>
  <c r="BB157" i="3"/>
  <c r="AE31" i="3"/>
  <c r="AV140" i="3"/>
  <c r="BI235" i="3"/>
  <c r="BJ232" i="3" s="1"/>
  <c r="AS111" i="3"/>
  <c r="AL60" i="3"/>
  <c r="AL62" i="3"/>
  <c r="AL63" i="3" a="1"/>
  <c r="AL63" i="3" s="1"/>
  <c r="AG49" i="3"/>
  <c r="AH43" i="3"/>
  <c r="AK76" i="3"/>
  <c r="AU117" i="3" a="1"/>
  <c r="AU117" i="3" s="1"/>
  <c r="AU116" i="3"/>
  <c r="AU114" i="3"/>
  <c r="AU119" i="3" s="1"/>
  <c r="AG48" i="3"/>
  <c r="AK75" i="3"/>
  <c r="AF27" i="3" a="1"/>
  <c r="AF27" i="3" s="1"/>
  <c r="AF24" i="3"/>
  <c r="AF29" i="3" s="1"/>
  <c r="AF26" i="3"/>
  <c r="AZ172" i="3"/>
  <c r="AS112" i="3"/>
  <c r="AO82" i="3"/>
  <c r="AZ176" i="3"/>
  <c r="BI462" i="3"/>
  <c r="BI463" i="3"/>
  <c r="BI453" i="3"/>
  <c r="BI454" i="3"/>
  <c r="BI318" i="3"/>
  <c r="BI319" i="3"/>
  <c r="BI417" i="3"/>
  <c r="BI418" i="3"/>
  <c r="BI507" i="3"/>
  <c r="BI508" i="3"/>
  <c r="BI201" i="3"/>
  <c r="BI202" i="3"/>
  <c r="BI408" i="3"/>
  <c r="BI409" i="3"/>
  <c r="BI426" i="3"/>
  <c r="BI427" i="3"/>
  <c r="BI399" i="3"/>
  <c r="BI400" i="3"/>
  <c r="BI265" i="3"/>
  <c r="BI264" i="3"/>
  <c r="BI480" i="3"/>
  <c r="BI481" i="3"/>
  <c r="BI498" i="3"/>
  <c r="BI499" i="3"/>
  <c r="BI500" i="3" s="1"/>
  <c r="BI373" i="3"/>
  <c r="BI372" i="3"/>
  <c r="BI391" i="3"/>
  <c r="BI390" i="3"/>
  <c r="BI444" i="3"/>
  <c r="BI445" i="3"/>
  <c r="BI246" i="3"/>
  <c r="BI247" i="3"/>
  <c r="BI256" i="3"/>
  <c r="BI255" i="3"/>
  <c r="BI435" i="3"/>
  <c r="BI436" i="3"/>
  <c r="BI291" i="3"/>
  <c r="BI292" i="3"/>
  <c r="BI274" i="3"/>
  <c r="BI273" i="3"/>
  <c r="BI310" i="3"/>
  <c r="BI309" i="3"/>
  <c r="BI381" i="3"/>
  <c r="BI382" i="3"/>
  <c r="BI228" i="3"/>
  <c r="BI229" i="3"/>
  <c r="BI345" i="3"/>
  <c r="BI346" i="3"/>
  <c r="BI282" i="3"/>
  <c r="BI283" i="3"/>
  <c r="BI211" i="3"/>
  <c r="BI210" i="3"/>
  <c r="BI300" i="3"/>
  <c r="BI301" i="3"/>
  <c r="BI327" i="3"/>
  <c r="BI328" i="3"/>
  <c r="BI337" i="3"/>
  <c r="BI336" i="3"/>
  <c r="BI363" i="3"/>
  <c r="BI364" i="3"/>
  <c r="BI490" i="3"/>
  <c r="BI489" i="3"/>
  <c r="BI472" i="3"/>
  <c r="BI473" i="3" s="1"/>
  <c r="BI471" i="3"/>
  <c r="BI354" i="3"/>
  <c r="BI355" i="3"/>
  <c r="Z14" i="3"/>
  <c r="Z4" i="3" s="1"/>
  <c r="Z5" i="3"/>
  <c r="Z10" i="3"/>
  <c r="AF14" i="2"/>
  <c r="BP18" i="4"/>
  <c r="BP29" i="6" s="1"/>
  <c r="BP16" i="4"/>
  <c r="BP27" i="6" s="1"/>
  <c r="K23" i="6"/>
  <c r="I13" i="2"/>
  <c r="BQ29" i="5"/>
  <c r="BP18" i="7"/>
  <c r="BQ25" i="5"/>
  <c r="BP16" i="7"/>
  <c r="BP28" i="4"/>
  <c r="BP35" i="6" s="1"/>
  <c r="BO15" i="7"/>
  <c r="BP22" i="5"/>
  <c r="BP27" i="4" s="1"/>
  <c r="BP34" i="6" s="1"/>
  <c r="BQ5" i="2"/>
  <c r="BQ19" i="2" s="1"/>
  <c r="I43" i="10"/>
  <c r="I42" i="10"/>
  <c r="I47" i="10"/>
  <c r="BP5" i="4"/>
  <c r="BP20" i="6" s="1"/>
  <c r="BN21" i="6"/>
  <c r="I6" i="2"/>
  <c r="BP8" i="2"/>
  <c r="L24" i="2" l="1"/>
  <c r="L25" i="2" s="1"/>
  <c r="L6" i="5"/>
  <c r="AV8" i="1"/>
  <c r="R7" i="8"/>
  <c r="T7" i="8" s="1"/>
  <c r="AI58" i="3"/>
  <c r="AJ52" i="3"/>
  <c r="AL73" i="3"/>
  <c r="AL76" i="3" s="1"/>
  <c r="BK222" i="3"/>
  <c r="BK224" i="3"/>
  <c r="BK225" i="3" a="1"/>
  <c r="BK225" i="3" s="1"/>
  <c r="BG218" i="3"/>
  <c r="BG219" i="3" s="1"/>
  <c r="AL75" i="3"/>
  <c r="BK206" i="3"/>
  <c r="BK207" i="3" a="1"/>
  <c r="BK207" i="3" s="1"/>
  <c r="BK204" i="3"/>
  <c r="AW133" i="3"/>
  <c r="AW132" i="3" s="1"/>
  <c r="AN94" i="3"/>
  <c r="BA166" i="3"/>
  <c r="AW126" i="3" a="1"/>
  <c r="AW126" i="3" s="1"/>
  <c r="AW127" i="3" s="1"/>
  <c r="AX124" i="3" s="1"/>
  <c r="BP17" i="7"/>
  <c r="BQ28" i="5"/>
  <c r="K8" i="5"/>
  <c r="K8" i="7"/>
  <c r="M18" i="2"/>
  <c r="L7" i="4"/>
  <c r="L8" i="4"/>
  <c r="BI526" i="3"/>
  <c r="BI525" i="3"/>
  <c r="AR100" i="3"/>
  <c r="AR101" i="3"/>
  <c r="AR102" i="3" s="1"/>
  <c r="AR104" i="3"/>
  <c r="BQ13" i="6"/>
  <c r="BQ17" i="4"/>
  <c r="BQ6" i="4"/>
  <c r="BD187" i="3"/>
  <c r="BC193" i="3"/>
  <c r="BI516" i="3"/>
  <c r="BC178" i="3"/>
  <c r="BB184" i="3"/>
  <c r="BJ533" i="3" a="1"/>
  <c r="BJ533" i="3" s="1"/>
  <c r="BK533" i="3" s="1"/>
  <c r="BI517" i="3"/>
  <c r="AO90" i="3" a="1"/>
  <c r="AO90" i="3" s="1"/>
  <c r="AO89" i="3"/>
  <c r="AO87" i="3"/>
  <c r="AO95" i="3" s="1"/>
  <c r="AN93" i="3"/>
  <c r="AL65" i="3"/>
  <c r="AL66" i="3" s="1"/>
  <c r="AK66" i="3"/>
  <c r="AT113" i="3"/>
  <c r="AT110" i="3"/>
  <c r="AT112" i="3" s="1"/>
  <c r="AX149" i="3"/>
  <c r="AX146" i="3"/>
  <c r="AW123" i="3"/>
  <c r="AD20" i="3"/>
  <c r="AD21" i="3" s="1"/>
  <c r="AD23" i="3"/>
  <c r="AD19" i="3"/>
  <c r="AX145" i="3"/>
  <c r="AV138" i="3"/>
  <c r="AV130" i="3"/>
  <c r="AU118" i="3"/>
  <c r="AV115" i="3" s="1"/>
  <c r="AU107" i="3"/>
  <c r="AU109" i="3" s="1"/>
  <c r="AU105" i="3"/>
  <c r="AU113" i="3" s="1"/>
  <c r="BC150" i="3"/>
  <c r="BC155" i="3" s="1"/>
  <c r="BC152" i="3"/>
  <c r="BC153" i="3" a="1"/>
  <c r="BC153" i="3" s="1"/>
  <c r="AE35" i="3"/>
  <c r="AE33" i="3"/>
  <c r="AE36" i="3" a="1"/>
  <c r="AE36" i="3" s="1"/>
  <c r="AD40" i="3"/>
  <c r="BJ233" i="3"/>
  <c r="BJ231" i="3"/>
  <c r="BJ236" i="3" s="1"/>
  <c r="BJ234" i="3" a="1"/>
  <c r="BJ234" i="3" s="1"/>
  <c r="AZ174" i="3"/>
  <c r="AH42" i="3"/>
  <c r="AH47" i="3" s="1"/>
  <c r="AH45" i="3" a="1"/>
  <c r="AH45" i="3" s="1"/>
  <c r="AH44" i="3"/>
  <c r="AL64" i="3"/>
  <c r="BB161" i="3"/>
  <c r="BB159" i="3"/>
  <c r="BB164" i="3" s="1"/>
  <c r="BB162" i="3" a="1"/>
  <c r="BB162" i="3" s="1"/>
  <c r="BI238" i="3"/>
  <c r="AZ175" i="3"/>
  <c r="BA169" i="3"/>
  <c r="AL68" i="3"/>
  <c r="BH213" i="3"/>
  <c r="BH216" i="3" a="1"/>
  <c r="BH216" i="3" s="1"/>
  <c r="BH215" i="3"/>
  <c r="AO84" i="3"/>
  <c r="AP79" i="3"/>
  <c r="AO85" i="3"/>
  <c r="AF28" i="3"/>
  <c r="AF32" i="3"/>
  <c r="AU122" i="3"/>
  <c r="BJ489" i="3"/>
  <c r="BJ490" i="3"/>
  <c r="BJ336" i="3"/>
  <c r="BJ337" i="3"/>
  <c r="BJ292" i="3"/>
  <c r="BJ291" i="3"/>
  <c r="BJ390" i="3"/>
  <c r="BJ391" i="3"/>
  <c r="BJ498" i="3"/>
  <c r="BJ499" i="3"/>
  <c r="BJ399" i="3"/>
  <c r="BJ400" i="3"/>
  <c r="BJ454" i="3"/>
  <c r="BJ453" i="3"/>
  <c r="BJ229" i="3"/>
  <c r="BJ228" i="3"/>
  <c r="BJ309" i="3"/>
  <c r="BJ310" i="3"/>
  <c r="BJ255" i="3"/>
  <c r="BJ256" i="3"/>
  <c r="BJ408" i="3"/>
  <c r="BJ409" i="3"/>
  <c r="BJ418" i="3"/>
  <c r="BJ417" i="3"/>
  <c r="BJ355" i="3"/>
  <c r="BJ354" i="3"/>
  <c r="BJ327" i="3"/>
  <c r="BJ328" i="3"/>
  <c r="BJ210" i="3"/>
  <c r="BJ211" i="3"/>
  <c r="BJ246" i="3"/>
  <c r="BJ247" i="3"/>
  <c r="BJ517" i="3"/>
  <c r="BJ516" i="3"/>
  <c r="BJ363" i="3"/>
  <c r="BJ364" i="3"/>
  <c r="BJ282" i="3"/>
  <c r="BJ283" i="3"/>
  <c r="BJ372" i="3"/>
  <c r="BJ373" i="3"/>
  <c r="BJ264" i="3"/>
  <c r="BJ265" i="3"/>
  <c r="BJ426" i="3"/>
  <c r="BJ427" i="3"/>
  <c r="BJ201" i="3"/>
  <c r="BJ202" i="3"/>
  <c r="BJ463" i="3"/>
  <c r="BJ462" i="3"/>
  <c r="BJ472" i="3"/>
  <c r="BJ471" i="3"/>
  <c r="BJ300" i="3"/>
  <c r="BJ301" i="3"/>
  <c r="BJ381" i="3"/>
  <c r="BJ382" i="3"/>
  <c r="BJ274" i="3"/>
  <c r="BJ273" i="3"/>
  <c r="BJ445" i="3"/>
  <c r="BJ444" i="3"/>
  <c r="BJ318" i="3"/>
  <c r="BJ319" i="3"/>
  <c r="BJ480" i="3"/>
  <c r="BJ481" i="3"/>
  <c r="BJ482" i="3" s="1"/>
  <c r="BJ346" i="3"/>
  <c r="BJ345" i="3"/>
  <c r="BJ435" i="3"/>
  <c r="BJ436" i="3"/>
  <c r="BJ525" i="3"/>
  <c r="BJ526" i="3"/>
  <c r="BJ507" i="3"/>
  <c r="BJ508" i="3"/>
  <c r="BJ509" i="3" s="1"/>
  <c r="Z13" i="3"/>
  <c r="Z3" i="3" s="1"/>
  <c r="AG22" i="2" s="1"/>
  <c r="AG14" i="6" s="1"/>
  <c r="AA7" i="3"/>
  <c r="Z12" i="3"/>
  <c r="Z2" i="3" s="1"/>
  <c r="K9" i="4"/>
  <c r="BP28" i="6"/>
  <c r="BP31" i="6" s="1"/>
  <c r="BQ18" i="4"/>
  <c r="BQ29" i="6" s="1"/>
  <c r="BQ16" i="4"/>
  <c r="BQ27" i="6" s="1"/>
  <c r="K22" i="6"/>
  <c r="BR25" i="5"/>
  <c r="I25" i="5" s="1"/>
  <c r="BQ16" i="7"/>
  <c r="BQ28" i="4"/>
  <c r="BQ35" i="6" s="1"/>
  <c r="BR29" i="5"/>
  <c r="I29" i="5" s="1"/>
  <c r="BQ18" i="7"/>
  <c r="BP15" i="7"/>
  <c r="BQ22" i="5"/>
  <c r="BQ27" i="4" s="1"/>
  <c r="BQ34" i="6" s="1"/>
  <c r="BR5" i="2"/>
  <c r="BR19" i="2" s="1"/>
  <c r="I48" i="10"/>
  <c r="BQ5" i="4"/>
  <c r="BQ20" i="6" s="1"/>
  <c r="BQ8" i="2"/>
  <c r="AM70" i="3" l="1"/>
  <c r="L19" i="4"/>
  <c r="L7" i="5"/>
  <c r="S7" i="8"/>
  <c r="BG220" i="3"/>
  <c r="BH218" i="3"/>
  <c r="AJ53" i="3"/>
  <c r="AJ54" i="3" a="1"/>
  <c r="AJ54" i="3" s="1"/>
  <c r="AJ51" i="3"/>
  <c r="BK226" i="3"/>
  <c r="BK230" i="3"/>
  <c r="BK227" i="3"/>
  <c r="BK228" i="3" s="1"/>
  <c r="AW135" i="3" a="1"/>
  <c r="AW135" i="3" s="1"/>
  <c r="AW134" i="3"/>
  <c r="BK212" i="3"/>
  <c r="BK209" i="3"/>
  <c r="BK210" i="3" s="1"/>
  <c r="BK208" i="3"/>
  <c r="BQ17" i="7"/>
  <c r="BR28" i="5"/>
  <c r="I28" i="5" s="1"/>
  <c r="E26" i="7" s="1" a="1"/>
  <c r="E26" i="7" s="1"/>
  <c r="L8" i="5"/>
  <c r="L8" i="7"/>
  <c r="M20" i="2"/>
  <c r="M15" i="4" s="1"/>
  <c r="AR103" i="3"/>
  <c r="AS97" i="3"/>
  <c r="BR13" i="6"/>
  <c r="BR17" i="4"/>
  <c r="BR6" i="4"/>
  <c r="BD186" i="3"/>
  <c r="BD188" i="3"/>
  <c r="BD189" i="3" a="1"/>
  <c r="BD189" i="3" s="1"/>
  <c r="BJ535" i="3"/>
  <c r="BJ534" i="3"/>
  <c r="BC179" i="3"/>
  <c r="BC177" i="3"/>
  <c r="BC180" i="3" a="1"/>
  <c r="BC180" i="3" s="1"/>
  <c r="AO91" i="3"/>
  <c r="AP88" i="3" s="1"/>
  <c r="AP90" i="3" s="1" a="1"/>
  <c r="AP90" i="3" s="1"/>
  <c r="AO92" i="3"/>
  <c r="BK542" i="3" a="1"/>
  <c r="BK542" i="3" s="1"/>
  <c r="BK543" i="3" s="1"/>
  <c r="AW131" i="3"/>
  <c r="AW128" i="3"/>
  <c r="AW130" i="3" s="1"/>
  <c r="AX147" i="3"/>
  <c r="AU110" i="3"/>
  <c r="AU111" i="3" s="1"/>
  <c r="AT111" i="3"/>
  <c r="AW140" i="3"/>
  <c r="AW137" i="3"/>
  <c r="AE16" i="3"/>
  <c r="AD22" i="3"/>
  <c r="AE41" i="3"/>
  <c r="AE38" i="3"/>
  <c r="AX148" i="3"/>
  <c r="AY142" i="3"/>
  <c r="BH217" i="3"/>
  <c r="BI214" i="3" s="1"/>
  <c r="AV106" i="3"/>
  <c r="AV108" i="3" s="1" a="1"/>
  <c r="AV108" i="3" s="1"/>
  <c r="AE37" i="3"/>
  <c r="BC154" i="3"/>
  <c r="BC158" i="3"/>
  <c r="BB163" i="3"/>
  <c r="BC160" i="3" s="1"/>
  <c r="BJ235" i="3"/>
  <c r="BK232" i="3" s="1"/>
  <c r="BJ239" i="3"/>
  <c r="BH221" i="3"/>
  <c r="AL67" i="3"/>
  <c r="AM61" i="3"/>
  <c r="AP81" i="3" a="1"/>
  <c r="AP81" i="3" s="1"/>
  <c r="AP80" i="3"/>
  <c r="AP78" i="3"/>
  <c r="AP83" i="3" s="1"/>
  <c r="AU121" i="3"/>
  <c r="AX123" i="3"/>
  <c r="AX125" i="3"/>
  <c r="AX126" i="3" a="1"/>
  <c r="AX126" i="3" s="1"/>
  <c r="AH46" i="3"/>
  <c r="AF31" i="3"/>
  <c r="AG25" i="3"/>
  <c r="AU120" i="3"/>
  <c r="AM72" i="3" a="1"/>
  <c r="AM72" i="3" s="1"/>
  <c r="AM71" i="3"/>
  <c r="AM69" i="3"/>
  <c r="AM74" i="3" s="1"/>
  <c r="AH50" i="3"/>
  <c r="AH48" i="3"/>
  <c r="BA170" i="3"/>
  <c r="BA171" i="3" a="1"/>
  <c r="BA171" i="3" s="1"/>
  <c r="BA168" i="3"/>
  <c r="BA173" i="3" s="1"/>
  <c r="AV116" i="3"/>
  <c r="AV117" i="3" a="1"/>
  <c r="AV117" i="3" s="1"/>
  <c r="AV114" i="3"/>
  <c r="BB167" i="3"/>
  <c r="AF30" i="3"/>
  <c r="BK435" i="3"/>
  <c r="BK436" i="3"/>
  <c r="BK273" i="3"/>
  <c r="BK274" i="3"/>
  <c r="BK472" i="3"/>
  <c r="BK471" i="3"/>
  <c r="BK282" i="3"/>
  <c r="BK283" i="3"/>
  <c r="BK390" i="3"/>
  <c r="BK391" i="3"/>
  <c r="BK426" i="3"/>
  <c r="BK427" i="3"/>
  <c r="BK417" i="3"/>
  <c r="BK418" i="3"/>
  <c r="BK489" i="3"/>
  <c r="BK490" i="3"/>
  <c r="BK491" i="3" s="1"/>
  <c r="BK300" i="3"/>
  <c r="BK301" i="3"/>
  <c r="BK400" i="3"/>
  <c r="BK399" i="3"/>
  <c r="BK346" i="3"/>
  <c r="BK345" i="3"/>
  <c r="BK462" i="3"/>
  <c r="BK463" i="3"/>
  <c r="BK363" i="3"/>
  <c r="BK364" i="3"/>
  <c r="BK327" i="3"/>
  <c r="BK328" i="3"/>
  <c r="BK255" i="3"/>
  <c r="BK256" i="3"/>
  <c r="BK264" i="3"/>
  <c r="BK265" i="3"/>
  <c r="BK534" i="3"/>
  <c r="BK535" i="3"/>
  <c r="BK454" i="3"/>
  <c r="BK453" i="3"/>
  <c r="BK291" i="3"/>
  <c r="BK292" i="3"/>
  <c r="BK525" i="3"/>
  <c r="BK526" i="3"/>
  <c r="BK318" i="3"/>
  <c r="BK319" i="3"/>
  <c r="BK408" i="3"/>
  <c r="BK409" i="3"/>
  <c r="BK498" i="3"/>
  <c r="BK499" i="3"/>
  <c r="BK480" i="3"/>
  <c r="BK481" i="3"/>
  <c r="BK201" i="3"/>
  <c r="BK202" i="3"/>
  <c r="BK516" i="3"/>
  <c r="BK517" i="3"/>
  <c r="BK518" i="3" s="1"/>
  <c r="BK354" i="3"/>
  <c r="BK355" i="3"/>
  <c r="BK309" i="3"/>
  <c r="BK310" i="3"/>
  <c r="BK336" i="3"/>
  <c r="BK337" i="3"/>
  <c r="BK507" i="3"/>
  <c r="BK508" i="3"/>
  <c r="BK444" i="3"/>
  <c r="BK445" i="3"/>
  <c r="BK382" i="3"/>
  <c r="BK381" i="3"/>
  <c r="BK373" i="3"/>
  <c r="BK372" i="3"/>
  <c r="BK247" i="3"/>
  <c r="BK246" i="3"/>
  <c r="AA9" i="3" a="1"/>
  <c r="AA9" i="3" s="1"/>
  <c r="AA6" i="3"/>
  <c r="AA11" i="3" s="1"/>
  <c r="AA8" i="3"/>
  <c r="L22" i="6"/>
  <c r="L23" i="6"/>
  <c r="BR18" i="4"/>
  <c r="BR29" i="6" s="1"/>
  <c r="BR16" i="4"/>
  <c r="BR27" i="6" s="1"/>
  <c r="BQ28" i="6"/>
  <c r="BQ31" i="6" s="1"/>
  <c r="BQ21" i="6"/>
  <c r="BR18" i="7"/>
  <c r="BQ15" i="7"/>
  <c r="BR22" i="5"/>
  <c r="BR16" i="7"/>
  <c r="BR28" i="4"/>
  <c r="BR35" i="6" s="1"/>
  <c r="I35" i="6" s="1"/>
  <c r="BP21" i="6"/>
  <c r="BR5" i="4"/>
  <c r="I5" i="2"/>
  <c r="R6" i="8" s="1"/>
  <c r="BR8" i="2"/>
  <c r="I8" i="2" s="1"/>
  <c r="K10" i="4"/>
  <c r="K12" i="4" s="1"/>
  <c r="I21" i="4"/>
  <c r="AV19" i="1" s="1"/>
  <c r="T6" i="8" l="1"/>
  <c r="S6" i="8"/>
  <c r="BK229" i="3"/>
  <c r="AJ56" i="3"/>
  <c r="AJ57" i="3" s="1"/>
  <c r="AJ59" i="3"/>
  <c r="AJ55" i="3"/>
  <c r="AW136" i="3"/>
  <c r="AX133" i="3" s="1"/>
  <c r="BK211" i="3"/>
  <c r="BR15" i="7"/>
  <c r="I22" i="5"/>
  <c r="BK544" i="3"/>
  <c r="BR17" i="7"/>
  <c r="M23" i="2"/>
  <c r="M6" i="5" s="1"/>
  <c r="AO94" i="3"/>
  <c r="AS96" i="3"/>
  <c r="AS98" i="3"/>
  <c r="AS99" i="3" a="1"/>
  <c r="AS99" i="3" s="1"/>
  <c r="BD190" i="3"/>
  <c r="BD191" i="3"/>
  <c r="BD194" i="3"/>
  <c r="L20" i="4"/>
  <c r="AO93" i="3"/>
  <c r="AP89" i="3"/>
  <c r="AP91" i="3" s="1"/>
  <c r="BC182" i="3"/>
  <c r="BC185" i="3"/>
  <c r="AP87" i="3"/>
  <c r="AP95" i="3" s="1"/>
  <c r="BC181" i="3"/>
  <c r="AV107" i="3"/>
  <c r="AV109" i="3" s="1"/>
  <c r="BB166" i="3"/>
  <c r="AV105" i="3"/>
  <c r="AV113" i="3" s="1"/>
  <c r="AX128" i="3"/>
  <c r="AX129" i="3" s="1"/>
  <c r="AW129" i="3"/>
  <c r="AV122" i="3"/>
  <c r="AV119" i="3"/>
  <c r="AV120" i="3" s="1"/>
  <c r="AU112" i="3"/>
  <c r="AE17" i="3"/>
  <c r="AE15" i="3"/>
  <c r="AE18" i="3" a="1"/>
  <c r="AE18" i="3" s="1"/>
  <c r="BH220" i="3"/>
  <c r="AY144" i="3" a="1"/>
  <c r="AY144" i="3" s="1"/>
  <c r="AY143" i="3"/>
  <c r="AY141" i="3"/>
  <c r="AY146" i="3" s="1"/>
  <c r="BH219" i="3"/>
  <c r="AE39" i="3"/>
  <c r="AP82" i="3"/>
  <c r="AQ79" i="3" s="1"/>
  <c r="AQ78" i="3" s="1"/>
  <c r="AQ86" i="3" s="1"/>
  <c r="BD151" i="3"/>
  <c r="BC157" i="3"/>
  <c r="BC156" i="3"/>
  <c r="AE40" i="3"/>
  <c r="AF34" i="3"/>
  <c r="BB165" i="3"/>
  <c r="AH49" i="3"/>
  <c r="AI43" i="3"/>
  <c r="BA176" i="3"/>
  <c r="BA174" i="3"/>
  <c r="BJ237" i="3"/>
  <c r="AG27" i="3" a="1"/>
  <c r="AG27" i="3" s="1"/>
  <c r="AG24" i="3"/>
  <c r="AG29" i="3" s="1"/>
  <c r="AG26" i="3"/>
  <c r="AM62" i="3"/>
  <c r="AM60" i="3"/>
  <c r="AM65" i="3" s="1"/>
  <c r="AM63" i="3" a="1"/>
  <c r="AM63" i="3" s="1"/>
  <c r="AV118" i="3"/>
  <c r="BA172" i="3"/>
  <c r="AM77" i="3"/>
  <c r="AW138" i="3"/>
  <c r="AP86" i="3"/>
  <c r="AP84" i="3"/>
  <c r="AM73" i="3"/>
  <c r="BK234" i="3" a="1"/>
  <c r="BK234" i="3" s="1"/>
  <c r="BK231" i="3"/>
  <c r="BK233" i="3"/>
  <c r="BC162" i="3" a="1"/>
  <c r="BC162" i="3" s="1"/>
  <c r="BC161" i="3"/>
  <c r="BC159" i="3"/>
  <c r="AX127" i="3"/>
  <c r="BI213" i="3"/>
  <c r="BI216" i="3" a="1"/>
  <c r="BI216" i="3" s="1"/>
  <c r="BI215" i="3"/>
  <c r="AX131" i="3"/>
  <c r="BJ238" i="3"/>
  <c r="AA10" i="3"/>
  <c r="AB7" i="3" s="1"/>
  <c r="AB9" i="3" s="1" a="1"/>
  <c r="AB9" i="3" s="1"/>
  <c r="AA14" i="3"/>
  <c r="AA4" i="3" s="1"/>
  <c r="AA5" i="3"/>
  <c r="AG14" i="2"/>
  <c r="L9" i="4"/>
  <c r="BR28" i="6"/>
  <c r="BR31" i="6" s="1"/>
  <c r="I13" i="6"/>
  <c r="BR21" i="6"/>
  <c r="BR27" i="4"/>
  <c r="BR34" i="6" s="1"/>
  <c r="I28" i="4"/>
  <c r="AV7" i="1"/>
  <c r="BR20" i="6"/>
  <c r="I5" i="4"/>
  <c r="I16" i="4"/>
  <c r="I29" i="6"/>
  <c r="I18" i="4"/>
  <c r="R21" i="8"/>
  <c r="T21" i="8" s="1"/>
  <c r="I32" i="6"/>
  <c r="AW139" i="3" l="1"/>
  <c r="AK52" i="3"/>
  <c r="AJ58" i="3"/>
  <c r="AB6" i="3"/>
  <c r="M24" i="2"/>
  <c r="M7" i="4"/>
  <c r="M22" i="6" s="1"/>
  <c r="M8" i="4"/>
  <c r="N18" i="2"/>
  <c r="AV110" i="3"/>
  <c r="AV112" i="3" s="1"/>
  <c r="AS100" i="3"/>
  <c r="AS101" i="3"/>
  <c r="AS102" i="3" s="1"/>
  <c r="AS104" i="3"/>
  <c r="BE187" i="3"/>
  <c r="BD193" i="3"/>
  <c r="BD192" i="3"/>
  <c r="BD178" i="3"/>
  <c r="BC184" i="3"/>
  <c r="AP92" i="3"/>
  <c r="AP93" i="3" s="1"/>
  <c r="BC183" i="3"/>
  <c r="AQ81" i="3" a="1"/>
  <c r="AQ81" i="3" s="1"/>
  <c r="AY145" i="3"/>
  <c r="AZ142" i="3" s="1"/>
  <c r="AQ88" i="3"/>
  <c r="BK239" i="3"/>
  <c r="BK236" i="3"/>
  <c r="BK237" i="3" s="1"/>
  <c r="AQ83" i="3"/>
  <c r="BC167" i="3"/>
  <c r="BC164" i="3"/>
  <c r="BI221" i="3"/>
  <c r="BI218" i="3"/>
  <c r="BI219" i="3" s="1"/>
  <c r="AE20" i="3"/>
  <c r="AE21" i="3" s="1"/>
  <c r="AE23" i="3"/>
  <c r="AE19" i="3"/>
  <c r="AY149" i="3"/>
  <c r="AQ80" i="3"/>
  <c r="AP85" i="3"/>
  <c r="BD152" i="3"/>
  <c r="BD153" i="3" a="1"/>
  <c r="BD153" i="3" s="1"/>
  <c r="BD150" i="3"/>
  <c r="BD155" i="3" s="1"/>
  <c r="AF33" i="3"/>
  <c r="AF38" i="3" s="1"/>
  <c r="AF36" i="3" a="1"/>
  <c r="AF36" i="3" s="1"/>
  <c r="AF35" i="3"/>
  <c r="AG28" i="3"/>
  <c r="AH25" i="3" s="1"/>
  <c r="AH26" i="3" s="1"/>
  <c r="BC163" i="3"/>
  <c r="BD160" i="3" s="1"/>
  <c r="BD162" i="3" s="1" a="1"/>
  <c r="BD162" i="3" s="1"/>
  <c r="AW106" i="3"/>
  <c r="AM68" i="3"/>
  <c r="AI44" i="3"/>
  <c r="AI42" i="3"/>
  <c r="AI47" i="3" s="1"/>
  <c r="AI45" i="3" a="1"/>
  <c r="AI45" i="3" s="1"/>
  <c r="AM75" i="3"/>
  <c r="AM76" i="3"/>
  <c r="AN70" i="3"/>
  <c r="BA175" i="3"/>
  <c r="BB169" i="3"/>
  <c r="AM64" i="3"/>
  <c r="BI217" i="3"/>
  <c r="AV121" i="3"/>
  <c r="AW115" i="3"/>
  <c r="AX130" i="3"/>
  <c r="AY124" i="3"/>
  <c r="AB8" i="3"/>
  <c r="AB10" i="3" s="1"/>
  <c r="BK235" i="3"/>
  <c r="AX134" i="3"/>
  <c r="AX132" i="3"/>
  <c r="AX137" i="3" s="1"/>
  <c r="AX135" i="3" a="1"/>
  <c r="AX135" i="3" s="1"/>
  <c r="AG32" i="3"/>
  <c r="AG30" i="3"/>
  <c r="AA12" i="3"/>
  <c r="AA2" i="3" s="1"/>
  <c r="AA13" i="3"/>
  <c r="AA3" i="3" s="1"/>
  <c r="E7" i="2"/>
  <c r="V8" i="2"/>
  <c r="E8" i="2" s="1"/>
  <c r="I6" i="4"/>
  <c r="I15" i="7"/>
  <c r="S21" i="8"/>
  <c r="I20" i="6"/>
  <c r="I21" i="6"/>
  <c r="I27" i="4"/>
  <c r="I28" i="6"/>
  <c r="I17" i="4"/>
  <c r="I27" i="6"/>
  <c r="M19" i="4" l="1"/>
  <c r="M20" i="4" s="1"/>
  <c r="M7" i="5"/>
  <c r="AK53" i="3"/>
  <c r="AK51" i="3"/>
  <c r="AK54" i="3" a="1"/>
  <c r="AK54" i="3" s="1"/>
  <c r="AV111" i="3"/>
  <c r="AB14" i="3"/>
  <c r="AB4" i="3" s="1"/>
  <c r="AB11" i="3"/>
  <c r="AB5" i="3" s="1"/>
  <c r="N20" i="2"/>
  <c r="N23" i="2" s="1"/>
  <c r="M25" i="2"/>
  <c r="AT97" i="3"/>
  <c r="AS103" i="3"/>
  <c r="AQ82" i="3"/>
  <c r="AR79" i="3" s="1"/>
  <c r="BE186" i="3"/>
  <c r="BE189" i="3" a="1"/>
  <c r="BE189" i="3" s="1"/>
  <c r="BE188" i="3"/>
  <c r="AP94" i="3"/>
  <c r="AH22" i="2"/>
  <c r="AH14" i="6" s="1"/>
  <c r="BD180" i="3" a="1"/>
  <c r="BD180" i="3" s="1"/>
  <c r="BD177" i="3"/>
  <c r="BD179" i="3"/>
  <c r="AY148" i="3"/>
  <c r="AQ89" i="3"/>
  <c r="AQ90" i="3" a="1"/>
  <c r="AQ90" i="3" s="1"/>
  <c r="AQ87" i="3"/>
  <c r="AE22" i="3"/>
  <c r="AF16" i="3"/>
  <c r="AY147" i="3"/>
  <c r="AZ144" i="3" a="1"/>
  <c r="AZ144" i="3" s="1"/>
  <c r="AZ141" i="3"/>
  <c r="AZ143" i="3"/>
  <c r="BD161" i="3"/>
  <c r="BD163" i="3" s="1"/>
  <c r="BE160" i="3" s="1"/>
  <c r="BD159" i="3"/>
  <c r="BD167" i="3" s="1"/>
  <c r="AF37" i="3"/>
  <c r="AG34" i="3" s="1"/>
  <c r="AG33" i="3" s="1"/>
  <c r="AG41" i="3" s="1"/>
  <c r="AH27" i="3" a="1"/>
  <c r="AH27" i="3" s="1"/>
  <c r="AH28" i="3" s="1"/>
  <c r="AF41" i="3"/>
  <c r="AG31" i="3"/>
  <c r="AH24" i="3"/>
  <c r="BD158" i="3"/>
  <c r="BD156" i="3"/>
  <c r="BD154" i="3"/>
  <c r="BI220" i="3"/>
  <c r="BJ214" i="3"/>
  <c r="AW117" i="3" a="1"/>
  <c r="AW117" i="3" s="1"/>
  <c r="AW114" i="3"/>
  <c r="AW119" i="3" s="1"/>
  <c r="AW116" i="3"/>
  <c r="AM67" i="3"/>
  <c r="AN61" i="3"/>
  <c r="AI50" i="3"/>
  <c r="AI48" i="3"/>
  <c r="BB171" i="3" a="1"/>
  <c r="BB171" i="3" s="1"/>
  <c r="BB168" i="3"/>
  <c r="BB173" i="3" s="1"/>
  <c r="BB170" i="3"/>
  <c r="AI46" i="3"/>
  <c r="AX140" i="3"/>
  <c r="BC166" i="3"/>
  <c r="AM66" i="3"/>
  <c r="AX136" i="3"/>
  <c r="AN69" i="3"/>
  <c r="AN74" i="3" s="1"/>
  <c r="AN71" i="3"/>
  <c r="AN72" i="3" a="1"/>
  <c r="AN72" i="3" s="1"/>
  <c r="AY123" i="3"/>
  <c r="AY128" i="3" s="1"/>
  <c r="AY126" i="3" a="1"/>
  <c r="AY126" i="3" s="1"/>
  <c r="AY125" i="3"/>
  <c r="AW107" i="3"/>
  <c r="AW105" i="3"/>
  <c r="AW110" i="3" s="1"/>
  <c r="AW108" i="3" a="1"/>
  <c r="AW108" i="3" s="1"/>
  <c r="AQ84" i="3"/>
  <c r="BK238" i="3"/>
  <c r="BC165" i="3"/>
  <c r="AC7" i="3"/>
  <c r="M23" i="6"/>
  <c r="W11" i="2"/>
  <c r="Y11" i="2"/>
  <c r="Y17" i="6" s="1"/>
  <c r="Z11" i="2"/>
  <c r="Z17" i="6" s="1"/>
  <c r="AA11" i="2"/>
  <c r="AA17" i="6" s="1"/>
  <c r="AE11" i="2"/>
  <c r="AE17" i="6" s="1"/>
  <c r="X11" i="2"/>
  <c r="X17" i="6" s="1"/>
  <c r="AE15" i="2"/>
  <c r="X15" i="2"/>
  <c r="AD15" i="2"/>
  <c r="W15" i="2"/>
  <c r="W21" i="2" s="1"/>
  <c r="AC15" i="2"/>
  <c r="AB15" i="2"/>
  <c r="AG15" i="2"/>
  <c r="AA15" i="2"/>
  <c r="Z15" i="2"/>
  <c r="AF15" i="2"/>
  <c r="V9" i="2"/>
  <c r="I30" i="10"/>
  <c r="I32" i="10"/>
  <c r="I28" i="10"/>
  <c r="I29" i="10"/>
  <c r="I33" i="10"/>
  <c r="I27" i="10"/>
  <c r="I34" i="6"/>
  <c r="N24" i="2" l="1"/>
  <c r="N7" i="5" s="1"/>
  <c r="N6" i="5"/>
  <c r="AB12" i="3"/>
  <c r="AB2" i="3" s="1"/>
  <c r="AK59" i="3"/>
  <c r="AK56" i="3"/>
  <c r="AK57" i="3" s="1"/>
  <c r="AK55" i="3"/>
  <c r="AB13" i="3"/>
  <c r="AB3" i="3" s="1"/>
  <c r="AI22" i="2" s="1"/>
  <c r="AI14" i="6" s="1"/>
  <c r="AQ85" i="3"/>
  <c r="BD181" i="3"/>
  <c r="BE178" i="3" s="1"/>
  <c r="BE177" i="3" s="1"/>
  <c r="M8" i="5"/>
  <c r="M8" i="7"/>
  <c r="N8" i="4"/>
  <c r="N23" i="6" s="1"/>
  <c r="N7" i="4"/>
  <c r="O18" i="2"/>
  <c r="O20" i="2" s="1"/>
  <c r="O15" i="4" s="1"/>
  <c r="N15" i="4"/>
  <c r="AA15" i="6"/>
  <c r="AA21" i="2"/>
  <c r="AB15" i="6"/>
  <c r="AB21" i="2"/>
  <c r="AE15" i="6"/>
  <c r="AE21" i="2"/>
  <c r="AC15" i="6"/>
  <c r="AC21" i="2"/>
  <c r="AF15" i="6"/>
  <c r="AF21" i="2"/>
  <c r="X15" i="6"/>
  <c r="X21" i="2"/>
  <c r="Z15" i="6"/>
  <c r="Z21" i="2"/>
  <c r="AG15" i="6"/>
  <c r="AG21" i="2"/>
  <c r="AD15" i="6"/>
  <c r="AD21" i="2"/>
  <c r="W15" i="6"/>
  <c r="AT98" i="3"/>
  <c r="AT99" i="3" a="1"/>
  <c r="AT99" i="3" s="1"/>
  <c r="AT96" i="3"/>
  <c r="BE190" i="3"/>
  <c r="BE194" i="3"/>
  <c r="BE191" i="3"/>
  <c r="BE192" i="3" s="1"/>
  <c r="BD185" i="3"/>
  <c r="BD182" i="3"/>
  <c r="BD183" i="3" s="1"/>
  <c r="F22" i="2"/>
  <c r="AQ95" i="3"/>
  <c r="AQ92" i="3"/>
  <c r="AQ93" i="3" s="1"/>
  <c r="AQ91" i="3"/>
  <c r="AZ149" i="3"/>
  <c r="AZ146" i="3"/>
  <c r="AN73" i="3"/>
  <c r="AO70" i="3" s="1"/>
  <c r="AO69" i="3" s="1"/>
  <c r="AO77" i="3" s="1"/>
  <c r="BD164" i="3"/>
  <c r="AF17" i="3"/>
  <c r="AF15" i="3"/>
  <c r="AF18" i="3" a="1"/>
  <c r="AF18" i="3" s="1"/>
  <c r="AH32" i="3"/>
  <c r="AH29" i="3"/>
  <c r="AH31" i="3" s="1"/>
  <c r="AG38" i="3"/>
  <c r="AF40" i="3"/>
  <c r="BE162" i="3" a="1"/>
  <c r="BE162" i="3" s="1"/>
  <c r="BE159" i="3"/>
  <c r="BE167" i="3" s="1"/>
  <c r="AZ145" i="3"/>
  <c r="BE161" i="3"/>
  <c r="AG35" i="3"/>
  <c r="AG36" i="3" a="1"/>
  <c r="AG36" i="3" s="1"/>
  <c r="BE151" i="3"/>
  <c r="BD157" i="3"/>
  <c r="AW109" i="3"/>
  <c r="AX106" i="3" s="1"/>
  <c r="AF39" i="3"/>
  <c r="AY127" i="3"/>
  <c r="AZ124" i="3" s="1"/>
  <c r="AZ123" i="3" s="1"/>
  <c r="AZ131" i="3" s="1"/>
  <c r="AX139" i="3"/>
  <c r="AY133" i="3"/>
  <c r="AW113" i="3"/>
  <c r="BJ215" i="3"/>
  <c r="BJ213" i="3"/>
  <c r="BJ218" i="3" s="1"/>
  <c r="BJ216" i="3" a="1"/>
  <c r="BJ216" i="3" s="1"/>
  <c r="BB176" i="3"/>
  <c r="AR80" i="3"/>
  <c r="AR81" i="3" a="1"/>
  <c r="AR81" i="3" s="1"/>
  <c r="AR78" i="3"/>
  <c r="AR83" i="3" s="1"/>
  <c r="AY131" i="3"/>
  <c r="AN63" i="3" a="1"/>
  <c r="AN63" i="3" s="1"/>
  <c r="AN62" i="3"/>
  <c r="AN60" i="3"/>
  <c r="AN65" i="3" s="1"/>
  <c r="AN77" i="3"/>
  <c r="AI25" i="3"/>
  <c r="AI49" i="3"/>
  <c r="AJ43" i="3"/>
  <c r="AW118" i="3"/>
  <c r="BB172" i="3"/>
  <c r="AX138" i="3"/>
  <c r="AW122" i="3"/>
  <c r="AC9" i="3" a="1"/>
  <c r="AC9" i="3" s="1"/>
  <c r="AC6" i="3"/>
  <c r="AC11" i="3" s="1"/>
  <c r="AC8" i="3"/>
  <c r="AH14" i="2"/>
  <c r="F14" i="2" s="1"/>
  <c r="M9" i="4"/>
  <c r="W17" i="6"/>
  <c r="AE10" i="4"/>
  <c r="AA10" i="4"/>
  <c r="Z10" i="4"/>
  <c r="Y10" i="4"/>
  <c r="W10" i="4"/>
  <c r="X10" i="4"/>
  <c r="AG16" i="2"/>
  <c r="AA16" i="2"/>
  <c r="AC16" i="2"/>
  <c r="AD16" i="2"/>
  <c r="AB16" i="2"/>
  <c r="W16" i="2"/>
  <c r="AF16" i="2"/>
  <c r="X16" i="2"/>
  <c r="Z16" i="2"/>
  <c r="AE16" i="2"/>
  <c r="AC11" i="2"/>
  <c r="AC17" i="6" s="1"/>
  <c r="AB11" i="2"/>
  <c r="AB17" i="6" s="1"/>
  <c r="AD11" i="2"/>
  <c r="AD17" i="6" s="1"/>
  <c r="E9" i="2"/>
  <c r="W9" i="2"/>
  <c r="N19" i="4" l="1"/>
  <c r="N20" i="4" s="1"/>
  <c r="N25" i="2"/>
  <c r="N8" i="7" s="1"/>
  <c r="AK58" i="3"/>
  <c r="AL52" i="3"/>
  <c r="AO71" i="3"/>
  <c r="BE179" i="3"/>
  <c r="BE180" i="3" a="1"/>
  <c r="BE180" i="3" s="1"/>
  <c r="N8" i="5"/>
  <c r="O23" i="2"/>
  <c r="O6" i="5" s="1"/>
  <c r="AE16" i="6"/>
  <c r="AE13" i="4"/>
  <c r="W16" i="6"/>
  <c r="W13" i="4"/>
  <c r="Z16" i="6"/>
  <c r="Z13" i="4"/>
  <c r="AB16" i="6"/>
  <c r="AB13" i="4"/>
  <c r="AD16" i="6"/>
  <c r="AD13" i="4"/>
  <c r="AC16" i="6"/>
  <c r="AC13" i="4"/>
  <c r="AA16" i="6"/>
  <c r="AA13" i="4"/>
  <c r="AG16" i="6"/>
  <c r="AG13" i="4"/>
  <c r="X16" i="6"/>
  <c r="X13" i="4"/>
  <c r="AF16" i="6"/>
  <c r="AF13" i="4"/>
  <c r="AT101" i="3"/>
  <c r="AT102" i="3" s="1"/>
  <c r="AT104" i="3"/>
  <c r="AT100" i="3"/>
  <c r="BD184" i="3"/>
  <c r="AO72" i="3" a="1"/>
  <c r="AO72" i="3" s="1"/>
  <c r="BF187" i="3"/>
  <c r="BE193" i="3"/>
  <c r="BE182" i="3"/>
  <c r="BE185" i="3"/>
  <c r="AQ94" i="3"/>
  <c r="AR88" i="3"/>
  <c r="AZ128" i="3"/>
  <c r="BE163" i="3"/>
  <c r="BF160" i="3" s="1"/>
  <c r="BE164" i="3"/>
  <c r="BD165" i="3"/>
  <c r="AO74" i="3"/>
  <c r="AC10" i="3"/>
  <c r="AD7" i="3" s="1"/>
  <c r="AD9" i="3" s="1" a="1"/>
  <c r="AD9" i="3" s="1"/>
  <c r="BD166" i="3"/>
  <c r="AF20" i="3"/>
  <c r="AF21" i="3" s="1"/>
  <c r="AF23" i="3"/>
  <c r="AF19" i="3"/>
  <c r="AH30" i="3"/>
  <c r="BA142" i="3"/>
  <c r="AZ148" i="3"/>
  <c r="AZ147" i="3"/>
  <c r="AG37" i="3"/>
  <c r="AH34" i="3" s="1"/>
  <c r="AZ126" i="3" a="1"/>
  <c r="AZ126" i="3" s="1"/>
  <c r="BE152" i="3"/>
  <c r="BE150" i="3"/>
  <c r="BE155" i="3" s="1"/>
  <c r="BE153" i="3" a="1"/>
  <c r="BE153" i="3" s="1"/>
  <c r="AG39" i="3"/>
  <c r="AZ125" i="3"/>
  <c r="AN64" i="3"/>
  <c r="AO61" i="3" s="1"/>
  <c r="AO63" i="3" s="1" a="1"/>
  <c r="AO63" i="3" s="1"/>
  <c r="AJ45" i="3" a="1"/>
  <c r="AJ45" i="3" s="1"/>
  <c r="AJ42" i="3"/>
  <c r="AJ47" i="3" s="1"/>
  <c r="AJ44" i="3"/>
  <c r="AN76" i="3"/>
  <c r="AR86" i="3"/>
  <c r="AR84" i="3"/>
  <c r="AY132" i="3"/>
  <c r="AY137" i="3" s="1"/>
  <c r="AY134" i="3"/>
  <c r="AY135" i="3" a="1"/>
  <c r="AY135" i="3" s="1"/>
  <c r="AN68" i="3"/>
  <c r="BB175" i="3"/>
  <c r="BC169" i="3"/>
  <c r="AW121" i="3"/>
  <c r="AX115" i="3"/>
  <c r="AR82" i="3"/>
  <c r="BJ221" i="3"/>
  <c r="BJ219" i="3"/>
  <c r="AN75" i="3"/>
  <c r="BJ217" i="3"/>
  <c r="AW120" i="3"/>
  <c r="AX105" i="3"/>
  <c r="AX107" i="3"/>
  <c r="AX108" i="3" a="1"/>
  <c r="AX108" i="3" s="1"/>
  <c r="AI27" i="3" a="1"/>
  <c r="AI27" i="3" s="1"/>
  <c r="AI24" i="3"/>
  <c r="AI29" i="3" s="1"/>
  <c r="AI26" i="3"/>
  <c r="AY129" i="3"/>
  <c r="AY130" i="3"/>
  <c r="AW111" i="3"/>
  <c r="BB174" i="3"/>
  <c r="AW112" i="3"/>
  <c r="N22" i="6"/>
  <c r="AC14" i="3"/>
  <c r="AC4" i="3" s="1"/>
  <c r="AC5" i="3"/>
  <c r="AH15" i="2"/>
  <c r="AC10" i="4"/>
  <c r="AB10" i="4"/>
  <c r="AD10" i="4"/>
  <c r="V11" i="2"/>
  <c r="V15" i="2"/>
  <c r="V21" i="2" s="1"/>
  <c r="Y15" i="2"/>
  <c r="X9" i="2"/>
  <c r="AO73" i="3" l="1"/>
  <c r="AL54" i="3" a="1"/>
  <c r="AL54" i="3" s="1"/>
  <c r="AL53" i="3"/>
  <c r="AL51" i="3"/>
  <c r="AD6" i="3"/>
  <c r="AD14" i="3" s="1"/>
  <c r="AD4" i="3" s="1"/>
  <c r="BE183" i="3"/>
  <c r="BE181" i="3"/>
  <c r="BE184" i="3" s="1"/>
  <c r="AD8" i="3"/>
  <c r="AD10" i="3" s="1"/>
  <c r="O24" i="2"/>
  <c r="O8" i="4"/>
  <c r="O23" i="6" s="1"/>
  <c r="P18" i="2"/>
  <c r="P20" i="2" s="1"/>
  <c r="O7" i="4"/>
  <c r="AH15" i="6"/>
  <c r="AH21" i="2"/>
  <c r="Y15" i="6"/>
  <c r="Y21" i="2"/>
  <c r="V15" i="6"/>
  <c r="E15" i="6" s="1"/>
  <c r="AO75" i="3"/>
  <c r="AU97" i="3"/>
  <c r="AT103" i="3"/>
  <c r="BF189" i="3" a="1"/>
  <c r="BF189" i="3" s="1"/>
  <c r="BF188" i="3"/>
  <c r="BF186" i="3"/>
  <c r="BE166" i="3"/>
  <c r="E15" i="2"/>
  <c r="AR87" i="3"/>
  <c r="AR90" i="3" a="1"/>
  <c r="AR90" i="3" s="1"/>
  <c r="AR89" i="3"/>
  <c r="AX113" i="3"/>
  <c r="AX110" i="3"/>
  <c r="AX111" i="3" s="1"/>
  <c r="AO60" i="3"/>
  <c r="BE165" i="3"/>
  <c r="AG16" i="3"/>
  <c r="AF22" i="3"/>
  <c r="BA144" i="3" a="1"/>
  <c r="BA144" i="3" s="1"/>
  <c r="BA143" i="3"/>
  <c r="BA141" i="3"/>
  <c r="BA146" i="3" s="1"/>
  <c r="AY136" i="3"/>
  <c r="AZ133" i="3" s="1"/>
  <c r="AG40" i="3"/>
  <c r="AZ127" i="3"/>
  <c r="BA124" i="3" s="1"/>
  <c r="BA125" i="3" s="1"/>
  <c r="AZ129" i="3"/>
  <c r="AH33" i="3"/>
  <c r="AH38" i="3" s="1"/>
  <c r="AH35" i="3"/>
  <c r="AH36" i="3" a="1"/>
  <c r="AH36" i="3" s="1"/>
  <c r="AN67" i="3"/>
  <c r="BE158" i="3"/>
  <c r="BE156" i="3"/>
  <c r="AO62" i="3"/>
  <c r="AO64" i="3" s="1"/>
  <c r="BE154" i="3"/>
  <c r="AJ46" i="3"/>
  <c r="AK43" i="3" s="1"/>
  <c r="AK44" i="3" s="1"/>
  <c r="AN66" i="3"/>
  <c r="AR85" i="3"/>
  <c r="AS79" i="3"/>
  <c r="AY140" i="3"/>
  <c r="AY138" i="3"/>
  <c r="AX109" i="3"/>
  <c r="AJ50" i="3"/>
  <c r="AX116" i="3"/>
  <c r="AX117" i="3" a="1"/>
  <c r="AX117" i="3" s="1"/>
  <c r="AX114" i="3"/>
  <c r="AX119" i="3" s="1"/>
  <c r="BF159" i="3"/>
  <c r="BF164" i="3" s="1"/>
  <c r="BF162" i="3" a="1"/>
  <c r="BF162" i="3" s="1"/>
  <c r="BF161" i="3"/>
  <c r="AI28" i="3"/>
  <c r="BJ220" i="3"/>
  <c r="BK214" i="3"/>
  <c r="AI32" i="3"/>
  <c r="AI30" i="3"/>
  <c r="BC171" i="3" a="1"/>
  <c r="BC171" i="3" s="1"/>
  <c r="BC168" i="3"/>
  <c r="BC173" i="3" s="1"/>
  <c r="BC170" i="3"/>
  <c r="AO76" i="3"/>
  <c r="AP70" i="3"/>
  <c r="N9" i="4"/>
  <c r="AC12" i="3"/>
  <c r="AC2" i="3" s="1"/>
  <c r="AC13" i="3"/>
  <c r="AC3" i="3" s="1"/>
  <c r="AJ22" i="2" s="1"/>
  <c r="AJ14" i="6" s="1"/>
  <c r="F15" i="2"/>
  <c r="AH16" i="2"/>
  <c r="F14" i="6"/>
  <c r="V17" i="6"/>
  <c r="E17" i="6" s="1"/>
  <c r="E11" i="2"/>
  <c r="Y16" i="2"/>
  <c r="Y13" i="4" s="1"/>
  <c r="V16" i="2"/>
  <c r="V13" i="4" s="1"/>
  <c r="E13" i="4" s="1"/>
  <c r="V10" i="4"/>
  <c r="Y9" i="2"/>
  <c r="E31" i="6"/>
  <c r="O19" i="4" l="1"/>
  <c r="O7" i="5"/>
  <c r="BF178" i="3"/>
  <c r="AL55" i="3"/>
  <c r="AM52" i="3" s="1"/>
  <c r="AM51" i="3" s="1"/>
  <c r="AL56" i="3"/>
  <c r="AL57" i="3" s="1"/>
  <c r="AL59" i="3"/>
  <c r="AD11" i="3"/>
  <c r="AD5" i="3" s="1"/>
  <c r="O25" i="2"/>
  <c r="F21" i="2"/>
  <c r="F15" i="6"/>
  <c r="P15" i="4"/>
  <c r="E21" i="2"/>
  <c r="AH16" i="6"/>
  <c r="AH13" i="4"/>
  <c r="F13" i="4" s="1"/>
  <c r="AU96" i="3"/>
  <c r="AU98" i="3"/>
  <c r="AU99" i="3" a="1"/>
  <c r="AU99" i="3" s="1"/>
  <c r="BF191" i="3"/>
  <c r="BF192" i="3" s="1"/>
  <c r="BF194" i="3"/>
  <c r="BF190" i="3"/>
  <c r="BF179" i="3"/>
  <c r="BF180" i="3" a="1"/>
  <c r="BF180" i="3" s="1"/>
  <c r="BF177" i="3"/>
  <c r="AR91" i="3"/>
  <c r="AR95" i="3"/>
  <c r="AR92" i="3"/>
  <c r="BA145" i="3"/>
  <c r="BB142" i="3" s="1"/>
  <c r="BB144" i="3" s="1" a="1"/>
  <c r="BB144" i="3" s="1"/>
  <c r="AO68" i="3"/>
  <c r="AO65" i="3"/>
  <c r="AO67" i="3" s="1"/>
  <c r="AG15" i="3"/>
  <c r="AG18" i="3" a="1"/>
  <c r="AG18" i="3" s="1"/>
  <c r="AG17" i="3"/>
  <c r="AK42" i="3"/>
  <c r="AK45" i="3" a="1"/>
  <c r="AK45" i="3" s="1"/>
  <c r="AK46" i="3" s="1"/>
  <c r="BA149" i="3"/>
  <c r="BA147" i="3"/>
  <c r="AZ130" i="3"/>
  <c r="BA123" i="3"/>
  <c r="AH37" i="3"/>
  <c r="AI34" i="3" s="1"/>
  <c r="AI36" i="3" s="1" a="1"/>
  <c r="AI36" i="3" s="1"/>
  <c r="BA126" i="3" a="1"/>
  <c r="BA126" i="3" s="1"/>
  <c r="BA127" i="3" s="1"/>
  <c r="BB124" i="3" s="1"/>
  <c r="AH41" i="3"/>
  <c r="AH39" i="3"/>
  <c r="BC172" i="3"/>
  <c r="BD169" i="3" s="1"/>
  <c r="BD170" i="3" s="1"/>
  <c r="BF151" i="3"/>
  <c r="BE157" i="3"/>
  <c r="AJ49" i="3"/>
  <c r="AJ48" i="3"/>
  <c r="BF167" i="3"/>
  <c r="BF165" i="3"/>
  <c r="AX118" i="3"/>
  <c r="AP69" i="3"/>
  <c r="AP74" i="3" s="1"/>
  <c r="AP71" i="3"/>
  <c r="AP72" i="3" a="1"/>
  <c r="AP72" i="3" s="1"/>
  <c r="BC176" i="3"/>
  <c r="AP61" i="3"/>
  <c r="BK216" i="3" a="1"/>
  <c r="BK216" i="3" s="1"/>
  <c r="BK213" i="3"/>
  <c r="BK218" i="3" s="1"/>
  <c r="BK215" i="3"/>
  <c r="AI31" i="3"/>
  <c r="AJ25" i="3"/>
  <c r="AS81" i="3" a="1"/>
  <c r="AS81" i="3" s="1"/>
  <c r="AS80" i="3"/>
  <c r="AS78" i="3"/>
  <c r="AS83" i="3" s="1"/>
  <c r="AX112" i="3"/>
  <c r="AY106" i="3"/>
  <c r="AZ132" i="3"/>
  <c r="AZ134" i="3"/>
  <c r="AZ135" i="3" a="1"/>
  <c r="AZ135" i="3" s="1"/>
  <c r="BF163" i="3"/>
  <c r="AX122" i="3"/>
  <c r="AX120" i="3"/>
  <c r="AY139" i="3"/>
  <c r="O22" i="6"/>
  <c r="AE7" i="3"/>
  <c r="AI14" i="2"/>
  <c r="AI15" i="2" s="1"/>
  <c r="F16" i="2"/>
  <c r="Y16" i="6"/>
  <c r="E16" i="2"/>
  <c r="V16" i="6"/>
  <c r="Z9" i="2"/>
  <c r="AA9" i="2" s="1"/>
  <c r="AL58" i="3" l="1"/>
  <c r="AM53" i="3"/>
  <c r="AM54" i="3" a="1"/>
  <c r="AM54" i="3" s="1"/>
  <c r="AD13" i="3"/>
  <c r="AD3" i="3" s="1"/>
  <c r="AK22" i="2" s="1"/>
  <c r="AK14" i="6" s="1"/>
  <c r="AD12" i="3"/>
  <c r="AD2" i="3" s="1"/>
  <c r="AM56" i="3"/>
  <c r="AM59" i="3"/>
  <c r="O8" i="5"/>
  <c r="O8" i="7"/>
  <c r="P23" i="2"/>
  <c r="P6" i="5" s="1"/>
  <c r="AI15" i="6"/>
  <c r="AI21" i="2"/>
  <c r="AU100" i="3"/>
  <c r="AU104" i="3"/>
  <c r="AU101" i="3"/>
  <c r="AU102" i="3" s="1"/>
  <c r="BF193" i="3"/>
  <c r="BG187" i="3"/>
  <c r="BF182" i="3"/>
  <c r="BF183" i="3" s="1"/>
  <c r="BF185" i="3"/>
  <c r="BB143" i="3"/>
  <c r="BB145" i="3" s="1"/>
  <c r="BC142" i="3" s="1"/>
  <c r="BF181" i="3"/>
  <c r="BB141" i="3"/>
  <c r="BB149" i="3" s="1"/>
  <c r="BA148" i="3"/>
  <c r="AR93" i="3"/>
  <c r="AR94" i="3"/>
  <c r="AS88" i="3"/>
  <c r="AZ140" i="3"/>
  <c r="AZ137" i="3"/>
  <c r="AZ138" i="3" s="1"/>
  <c r="BA131" i="3"/>
  <c r="BA128" i="3"/>
  <c r="BA130" i="3" s="1"/>
  <c r="AO66" i="3"/>
  <c r="AG19" i="3"/>
  <c r="AG20" i="3"/>
  <c r="AG21" i="3" s="1"/>
  <c r="AG23" i="3"/>
  <c r="AK50" i="3"/>
  <c r="AK47" i="3"/>
  <c r="AK49" i="3" s="1"/>
  <c r="BK217" i="3"/>
  <c r="BD171" i="3" a="1"/>
  <c r="BD171" i="3" s="1"/>
  <c r="BD172" i="3" s="1"/>
  <c r="AI35" i="3"/>
  <c r="AI37" i="3" s="1"/>
  <c r="AJ34" i="3" s="1"/>
  <c r="AJ35" i="3" s="1"/>
  <c r="BC175" i="3"/>
  <c r="BD168" i="3"/>
  <c r="AI33" i="3"/>
  <c r="BB126" i="3" a="1"/>
  <c r="BB126" i="3" s="1"/>
  <c r="BB123" i="3"/>
  <c r="BB131" i="3" s="1"/>
  <c r="BB125" i="3"/>
  <c r="AH40" i="3"/>
  <c r="BF150" i="3"/>
  <c r="BF155" i="3" s="1"/>
  <c r="BF153" i="3" a="1"/>
  <c r="BF153" i="3" s="1"/>
  <c r="BF152" i="3"/>
  <c r="AS82" i="3"/>
  <c r="AT79" i="3" s="1"/>
  <c r="BC174" i="3"/>
  <c r="AP60" i="3"/>
  <c r="AP65" i="3" s="1"/>
  <c r="AP62" i="3"/>
  <c r="AP63" i="3" a="1"/>
  <c r="AP63" i="3" s="1"/>
  <c r="BF166" i="3"/>
  <c r="BG160" i="3"/>
  <c r="AZ136" i="3"/>
  <c r="AJ24" i="3"/>
  <c r="AJ29" i="3" s="1"/>
  <c r="AJ26" i="3"/>
  <c r="AJ27" i="3" a="1"/>
  <c r="AJ27" i="3" s="1"/>
  <c r="BK221" i="3"/>
  <c r="BK219" i="3"/>
  <c r="AP73" i="3"/>
  <c r="AS86" i="3"/>
  <c r="AY108" i="3" a="1"/>
  <c r="AY108" i="3" s="1"/>
  <c r="AY105" i="3"/>
  <c r="AY110" i="3" s="1"/>
  <c r="AY107" i="3"/>
  <c r="AP77" i="3"/>
  <c r="AP75" i="3"/>
  <c r="AL43" i="3"/>
  <c r="AX121" i="3"/>
  <c r="AY115" i="3"/>
  <c r="O20" i="4"/>
  <c r="O9" i="4"/>
  <c r="AE8" i="3"/>
  <c r="AE9" i="3" a="1"/>
  <c r="AE9" i="3" s="1"/>
  <c r="AE6" i="3"/>
  <c r="AE11" i="3" s="1"/>
  <c r="AI16" i="2"/>
  <c r="AB9" i="2"/>
  <c r="AM55" i="3" l="1"/>
  <c r="AN52" i="3" s="1"/>
  <c r="AM57" i="3"/>
  <c r="AN53" i="3"/>
  <c r="AN54" i="3" a="1"/>
  <c r="AN54" i="3" s="1"/>
  <c r="AN51" i="3"/>
  <c r="AN59" i="3" s="1"/>
  <c r="P24" i="2"/>
  <c r="P7" i="4"/>
  <c r="P22" i="6" s="1"/>
  <c r="Q18" i="2"/>
  <c r="Q20" i="2" s="1"/>
  <c r="P8" i="4"/>
  <c r="P23" i="6" s="1"/>
  <c r="AI16" i="6"/>
  <c r="AI13" i="4"/>
  <c r="AV97" i="3"/>
  <c r="AU103" i="3"/>
  <c r="BB146" i="3"/>
  <c r="BB147" i="3" s="1"/>
  <c r="BG189" i="3" a="1"/>
  <c r="BG189" i="3" s="1"/>
  <c r="BG188" i="3"/>
  <c r="BG186" i="3"/>
  <c r="BF184" i="3"/>
  <c r="BG178" i="3"/>
  <c r="BB127" i="3"/>
  <c r="BC124" i="3" s="1"/>
  <c r="BC125" i="3" s="1"/>
  <c r="BB128" i="3"/>
  <c r="AS87" i="3"/>
  <c r="AS90" i="3" a="1"/>
  <c r="AS90" i="3" s="1"/>
  <c r="AS89" i="3"/>
  <c r="BD176" i="3"/>
  <c r="BD173" i="3"/>
  <c r="BD174" i="3" s="1"/>
  <c r="BA129" i="3"/>
  <c r="AG22" i="3"/>
  <c r="AH16" i="3"/>
  <c r="AI41" i="3"/>
  <c r="AI38" i="3"/>
  <c r="AI39" i="3" s="1"/>
  <c r="AK48" i="3"/>
  <c r="AJ36" i="3" a="1"/>
  <c r="AJ36" i="3" s="1"/>
  <c r="AJ37" i="3" s="1"/>
  <c r="BF154" i="3"/>
  <c r="BG151" i="3" s="1"/>
  <c r="BG153" i="3" s="1" a="1"/>
  <c r="BG153" i="3" s="1"/>
  <c r="BC143" i="3"/>
  <c r="BC141" i="3"/>
  <c r="BC144" i="3" a="1"/>
  <c r="BC144" i="3" s="1"/>
  <c r="AJ33" i="3"/>
  <c r="AJ41" i="3" s="1"/>
  <c r="AS85" i="3"/>
  <c r="BF158" i="3"/>
  <c r="AY113" i="3"/>
  <c r="AY111" i="3"/>
  <c r="BK220" i="3"/>
  <c r="BA133" i="3"/>
  <c r="AZ139" i="3"/>
  <c r="AL42" i="3"/>
  <c r="AL47" i="3" s="1"/>
  <c r="AL45" i="3" a="1"/>
  <c r="AL45" i="3" s="1"/>
  <c r="AL44" i="3"/>
  <c r="AJ28" i="3"/>
  <c r="BG162" i="3" a="1"/>
  <c r="BG162" i="3" s="1"/>
  <c r="BG159" i="3"/>
  <c r="BG164" i="3" s="1"/>
  <c r="BG161" i="3"/>
  <c r="BE169" i="3"/>
  <c r="AJ32" i="3"/>
  <c r="AP64" i="3"/>
  <c r="AY116" i="3"/>
  <c r="AY114" i="3"/>
  <c r="AY119" i="3" s="1"/>
  <c r="AY117" i="3" a="1"/>
  <c r="AY117" i="3" s="1"/>
  <c r="AP76" i="3"/>
  <c r="AQ70" i="3"/>
  <c r="AP68" i="3"/>
  <c r="AT81" i="3" a="1"/>
  <c r="AT81" i="3" s="1"/>
  <c r="AT78" i="3"/>
  <c r="AT80" i="3"/>
  <c r="AY109" i="3"/>
  <c r="AS84" i="3"/>
  <c r="AE14" i="3"/>
  <c r="AE4" i="3" s="1"/>
  <c r="AE10" i="3"/>
  <c r="AC9" i="2"/>
  <c r="AM58" i="3" l="1"/>
  <c r="P19" i="4"/>
  <c r="P20" i="4" s="1"/>
  <c r="P7" i="5"/>
  <c r="AN55" i="3"/>
  <c r="AO52" i="3" s="1"/>
  <c r="AN56" i="3"/>
  <c r="BB148" i="3"/>
  <c r="BG190" i="3"/>
  <c r="BH187" i="3" s="1"/>
  <c r="BH189" i="3" s="1" a="1"/>
  <c r="BH189" i="3" s="1"/>
  <c r="BC146" i="3"/>
  <c r="P25" i="2"/>
  <c r="P8" i="5" s="1"/>
  <c r="Q15" i="4"/>
  <c r="BB130" i="3"/>
  <c r="AV99" i="3" a="1"/>
  <c r="AV99" i="3" s="1"/>
  <c r="AV98" i="3"/>
  <c r="AV96" i="3"/>
  <c r="BG191" i="3"/>
  <c r="BG194" i="3"/>
  <c r="BC126" i="3" a="1"/>
  <c r="BC126" i="3" s="1"/>
  <c r="BC127" i="3" s="1"/>
  <c r="BC123" i="3"/>
  <c r="BC131" i="3" s="1"/>
  <c r="BG179" i="3"/>
  <c r="BG177" i="3"/>
  <c r="BG180" i="3" a="1"/>
  <c r="BG180" i="3" s="1"/>
  <c r="BG152" i="3"/>
  <c r="BG154" i="3" s="1"/>
  <c r="BG150" i="3"/>
  <c r="BG158" i="3" s="1"/>
  <c r="AS91" i="3"/>
  <c r="AS95" i="3"/>
  <c r="AS92" i="3"/>
  <c r="AS93" i="3" s="1"/>
  <c r="AT86" i="3"/>
  <c r="AT83" i="3"/>
  <c r="BF157" i="3"/>
  <c r="AH15" i="3"/>
  <c r="AH18" i="3" a="1"/>
  <c r="AH18" i="3" s="1"/>
  <c r="AH17" i="3"/>
  <c r="AJ38" i="3"/>
  <c r="AJ40" i="3" s="1"/>
  <c r="AE12" i="3"/>
  <c r="AE2" i="3" s="1"/>
  <c r="AE5" i="3"/>
  <c r="AI40" i="3"/>
  <c r="BD175" i="3"/>
  <c r="BC149" i="3"/>
  <c r="BB129" i="3"/>
  <c r="BC145" i="3"/>
  <c r="BF156" i="3"/>
  <c r="AK34" i="3"/>
  <c r="BG163" i="3"/>
  <c r="BH160" i="3" s="1"/>
  <c r="BH162" i="3" s="1" a="1"/>
  <c r="BH162" i="3" s="1"/>
  <c r="AT82" i="3"/>
  <c r="AU79" i="3" s="1"/>
  <c r="AU81" i="3" s="1" a="1"/>
  <c r="AU81" i="3" s="1"/>
  <c r="AL46" i="3"/>
  <c r="AM43" i="3" s="1"/>
  <c r="AM44" i="3" s="1"/>
  <c r="AL50" i="3"/>
  <c r="AL48" i="3"/>
  <c r="AP67" i="3"/>
  <c r="AQ61" i="3"/>
  <c r="BG167" i="3"/>
  <c r="BG165" i="3"/>
  <c r="BA134" i="3"/>
  <c r="BA135" i="3" a="1"/>
  <c r="BA135" i="3" s="1"/>
  <c r="BA132" i="3"/>
  <c r="BA137" i="3" s="1"/>
  <c r="AY112" i="3"/>
  <c r="AZ106" i="3"/>
  <c r="AY122" i="3"/>
  <c r="AY120" i="3"/>
  <c r="BE170" i="3"/>
  <c r="BE168" i="3"/>
  <c r="BE173" i="3" s="1"/>
  <c r="BE171" i="3" a="1"/>
  <c r="BE171" i="3" s="1"/>
  <c r="AJ30" i="3"/>
  <c r="AQ72" i="3" a="1"/>
  <c r="AQ72" i="3" s="1"/>
  <c r="AQ69" i="3"/>
  <c r="AQ74" i="3" s="1"/>
  <c r="AQ71" i="3"/>
  <c r="AJ31" i="3"/>
  <c r="AK25" i="3"/>
  <c r="AY118" i="3"/>
  <c r="AP66" i="3"/>
  <c r="P9" i="4"/>
  <c r="AE13" i="3"/>
  <c r="AE3" i="3" s="1"/>
  <c r="AL22" i="2" s="1"/>
  <c r="AL14" i="6" s="1"/>
  <c r="AF7" i="3"/>
  <c r="AJ14" i="2"/>
  <c r="AJ15" i="2" s="1"/>
  <c r="AD9" i="2"/>
  <c r="AN58" i="3" l="1"/>
  <c r="AN57" i="3"/>
  <c r="AO54" i="3" a="1"/>
  <c r="AO54" i="3" s="1"/>
  <c r="AO51" i="3"/>
  <c r="AO53" i="3"/>
  <c r="BH186" i="3"/>
  <c r="BH191" i="3" s="1"/>
  <c r="BH192" i="3" s="1"/>
  <c r="BG193" i="3"/>
  <c r="BH188" i="3"/>
  <c r="BH190" i="3" s="1"/>
  <c r="BG192" i="3"/>
  <c r="BC128" i="3"/>
  <c r="BC130" i="3" s="1"/>
  <c r="P8" i="7"/>
  <c r="Q23" i="2"/>
  <c r="Q6" i="5" s="1"/>
  <c r="AJ15" i="6"/>
  <c r="AJ21" i="2"/>
  <c r="AV100" i="3"/>
  <c r="AW97" i="3" s="1"/>
  <c r="AW99" i="3" s="1" a="1"/>
  <c r="AW99" i="3" s="1"/>
  <c r="AV101" i="3"/>
  <c r="AV102" i="3" s="1"/>
  <c r="AV104" i="3"/>
  <c r="BG155" i="3"/>
  <c r="BG156" i="3" s="1"/>
  <c r="BG182" i="3"/>
  <c r="BG185" i="3"/>
  <c r="BG181" i="3"/>
  <c r="AJ39" i="3"/>
  <c r="AS94" i="3"/>
  <c r="AT88" i="3"/>
  <c r="AH19" i="3"/>
  <c r="AH20" i="3"/>
  <c r="AH21" i="3" s="1"/>
  <c r="AH23" i="3"/>
  <c r="BC147" i="3"/>
  <c r="BD142" i="3"/>
  <c r="BC148" i="3"/>
  <c r="BG166" i="3"/>
  <c r="BH159" i="3"/>
  <c r="AU78" i="3"/>
  <c r="AU86" i="3" s="1"/>
  <c r="AU80" i="3"/>
  <c r="AU82" i="3" s="1"/>
  <c r="BH161" i="3"/>
  <c r="BH163" i="3" s="1"/>
  <c r="BD124" i="3"/>
  <c r="AL49" i="3"/>
  <c r="BH151" i="3"/>
  <c r="AM42" i="3"/>
  <c r="AM45" i="3" a="1"/>
  <c r="AM45" i="3" s="1"/>
  <c r="AM46" i="3" s="1"/>
  <c r="AK36" i="3" a="1"/>
  <c r="AK36" i="3" s="1"/>
  <c r="AK35" i="3"/>
  <c r="AK33" i="3"/>
  <c r="AK38" i="3" s="1"/>
  <c r="BE172" i="3"/>
  <c r="BF169" i="3" s="1"/>
  <c r="AT84" i="3"/>
  <c r="BA136" i="3"/>
  <c r="AQ60" i="3"/>
  <c r="AQ65" i="3" s="1"/>
  <c r="AQ62" i="3"/>
  <c r="AQ63" i="3" a="1"/>
  <c r="AQ63" i="3" s="1"/>
  <c r="AK24" i="3"/>
  <c r="AK29" i="3" s="1"/>
  <c r="AK27" i="3" a="1"/>
  <c r="AK27" i="3" s="1"/>
  <c r="AK26" i="3"/>
  <c r="AZ107" i="3"/>
  <c r="AZ105" i="3"/>
  <c r="AZ110" i="3" s="1"/>
  <c r="AZ108" i="3" a="1"/>
  <c r="AZ108" i="3" s="1"/>
  <c r="AY121" i="3"/>
  <c r="AZ115" i="3"/>
  <c r="AQ73" i="3"/>
  <c r="AQ77" i="3"/>
  <c r="BE176" i="3"/>
  <c r="BE174" i="3"/>
  <c r="BA140" i="3"/>
  <c r="BA138" i="3"/>
  <c r="AT85" i="3"/>
  <c r="AF6" i="3"/>
  <c r="AF11" i="3" s="1"/>
  <c r="AF9" i="3" a="1"/>
  <c r="AF9" i="3" s="1"/>
  <c r="AF8" i="3"/>
  <c r="AJ16" i="2"/>
  <c r="AE9" i="2"/>
  <c r="AO55" i="3" l="1"/>
  <c r="AP52" i="3" s="1"/>
  <c r="BH194" i="3"/>
  <c r="AO56" i="3"/>
  <c r="AO57" i="3" s="1"/>
  <c r="AO59" i="3"/>
  <c r="BC129" i="3"/>
  <c r="AW96" i="3"/>
  <c r="AW104" i="3" s="1"/>
  <c r="AW98" i="3"/>
  <c r="AW100" i="3" s="1"/>
  <c r="AX97" i="3" s="1"/>
  <c r="Q24" i="2"/>
  <c r="R18" i="2"/>
  <c r="R20" i="2" s="1"/>
  <c r="Q8" i="4"/>
  <c r="Q23" i="6" s="1"/>
  <c r="Q7" i="4"/>
  <c r="BG157" i="3"/>
  <c r="AJ16" i="6"/>
  <c r="AJ13" i="4"/>
  <c r="AV103" i="3"/>
  <c r="BH193" i="3"/>
  <c r="BI187" i="3"/>
  <c r="BH178" i="3"/>
  <c r="BG184" i="3"/>
  <c r="BG183" i="3"/>
  <c r="AT87" i="3"/>
  <c r="AT89" i="3"/>
  <c r="AT90" i="3" a="1"/>
  <c r="AT90" i="3" s="1"/>
  <c r="AU83" i="3"/>
  <c r="AU84" i="3" s="1"/>
  <c r="BH167" i="3"/>
  <c r="BH164" i="3"/>
  <c r="BH166" i="3" s="1"/>
  <c r="AI16" i="3"/>
  <c r="AH22" i="3"/>
  <c r="AM50" i="3"/>
  <c r="AM47" i="3"/>
  <c r="AM48" i="3" s="1"/>
  <c r="BD143" i="3"/>
  <c r="BD144" i="3" a="1"/>
  <c r="BD144" i="3" s="1"/>
  <c r="BD141" i="3"/>
  <c r="BD146" i="3" s="1"/>
  <c r="BD125" i="3"/>
  <c r="BD126" i="3" a="1"/>
  <c r="BD126" i="3" s="1"/>
  <c r="BD123" i="3"/>
  <c r="BD128" i="3" s="1"/>
  <c r="BH153" i="3" a="1"/>
  <c r="BH153" i="3" s="1"/>
  <c r="BH150" i="3"/>
  <c r="BH155" i="3" s="1"/>
  <c r="BH152" i="3"/>
  <c r="AK41" i="3"/>
  <c r="AK39" i="3"/>
  <c r="AK37" i="3"/>
  <c r="AK28" i="3"/>
  <c r="AL25" i="3" s="1"/>
  <c r="AL27" i="3" s="1" a="1"/>
  <c r="AL27" i="3" s="1"/>
  <c r="AV79" i="3"/>
  <c r="AZ114" i="3"/>
  <c r="AZ119" i="3" s="1"/>
  <c r="AZ116" i="3"/>
  <c r="AZ117" i="3" a="1"/>
  <c r="AZ117" i="3" s="1"/>
  <c r="AZ113" i="3"/>
  <c r="AZ111" i="3"/>
  <c r="AQ68" i="3"/>
  <c r="AQ66" i="3"/>
  <c r="AN43" i="3"/>
  <c r="AZ109" i="3"/>
  <c r="AK32" i="3"/>
  <c r="BA139" i="3"/>
  <c r="BB133" i="3"/>
  <c r="BE175" i="3"/>
  <c r="BI160" i="3"/>
  <c r="AQ64" i="3"/>
  <c r="AQ75" i="3"/>
  <c r="BF170" i="3"/>
  <c r="BF171" i="3" a="1"/>
  <c r="BF171" i="3" s="1"/>
  <c r="BF168" i="3"/>
  <c r="AQ76" i="3"/>
  <c r="AR70" i="3"/>
  <c r="AF10" i="3"/>
  <c r="AG7" i="3" s="1"/>
  <c r="AG6" i="3" s="1"/>
  <c r="AG14" i="3" s="1"/>
  <c r="AG4" i="3" s="1"/>
  <c r="AF14" i="3"/>
  <c r="AF4" i="3" s="1"/>
  <c r="AF5" i="3"/>
  <c r="AF9" i="2"/>
  <c r="Q19" i="4" l="1"/>
  <c r="Q20" i="4" s="1"/>
  <c r="Q7" i="5"/>
  <c r="AO58" i="3"/>
  <c r="AP51" i="3"/>
  <c r="AP59" i="3" s="1"/>
  <c r="AP53" i="3"/>
  <c r="AP54" i="3" a="1"/>
  <c r="AP54" i="3" s="1"/>
  <c r="AW101" i="3"/>
  <c r="AW102" i="3" s="1"/>
  <c r="AX99" i="3" a="1"/>
  <c r="AX99" i="3" s="1"/>
  <c r="AX96" i="3"/>
  <c r="AX104" i="3" s="1"/>
  <c r="AX98" i="3"/>
  <c r="AG11" i="3"/>
  <c r="AG5" i="3" s="1"/>
  <c r="Q25" i="2"/>
  <c r="Q22" i="6"/>
  <c r="Q9" i="4"/>
  <c r="R15" i="4"/>
  <c r="BI186" i="3"/>
  <c r="BI188" i="3"/>
  <c r="BI189" i="3" a="1"/>
  <c r="BI189" i="3" s="1"/>
  <c r="BH165" i="3"/>
  <c r="BH180" i="3" a="1"/>
  <c r="BH180" i="3" s="1"/>
  <c r="BH177" i="3"/>
  <c r="BH179" i="3"/>
  <c r="AT91" i="3"/>
  <c r="AT95" i="3"/>
  <c r="AT92" i="3"/>
  <c r="AT93" i="3" s="1"/>
  <c r="BF176" i="3"/>
  <c r="BF173" i="3"/>
  <c r="BF174" i="3" s="1"/>
  <c r="AM49" i="3"/>
  <c r="AI17" i="3"/>
  <c r="AI15" i="3"/>
  <c r="AI18" i="3" a="1"/>
  <c r="AI18" i="3" s="1"/>
  <c r="AL24" i="3"/>
  <c r="AL26" i="3"/>
  <c r="AL28" i="3" s="1"/>
  <c r="AM25" i="3" s="1"/>
  <c r="BD149" i="3"/>
  <c r="BD145" i="3"/>
  <c r="BD147" i="3"/>
  <c r="BD127" i="3"/>
  <c r="BE124" i="3" s="1"/>
  <c r="AU85" i="3"/>
  <c r="AK31" i="3"/>
  <c r="BD131" i="3"/>
  <c r="AK40" i="3"/>
  <c r="AL34" i="3"/>
  <c r="BH154" i="3"/>
  <c r="BH158" i="3"/>
  <c r="AK30" i="3"/>
  <c r="AV81" i="3" a="1"/>
  <c r="AV81" i="3" s="1"/>
  <c r="AV80" i="3"/>
  <c r="AV78" i="3"/>
  <c r="AV83" i="3" s="1"/>
  <c r="BA106" i="3"/>
  <c r="AZ112" i="3"/>
  <c r="BI159" i="3"/>
  <c r="BI164" i="3" s="1"/>
  <c r="BI162" i="3" a="1"/>
  <c r="BI162" i="3" s="1"/>
  <c r="BI161" i="3"/>
  <c r="BB135" i="3" a="1"/>
  <c r="BB135" i="3" s="1"/>
  <c r="BB134" i="3"/>
  <c r="BB132" i="3"/>
  <c r="BB137" i="3" s="1"/>
  <c r="AN45" i="3" a="1"/>
  <c r="AN45" i="3" s="1"/>
  <c r="AN44" i="3"/>
  <c r="AN42" i="3"/>
  <c r="AN47" i="3" s="1"/>
  <c r="BF172" i="3"/>
  <c r="AQ67" i="3"/>
  <c r="AR61" i="3"/>
  <c r="AZ118" i="3"/>
  <c r="AR71" i="3"/>
  <c r="AR72" i="3" a="1"/>
  <c r="AR72" i="3" s="1"/>
  <c r="AR69" i="3"/>
  <c r="AR74" i="3" s="1"/>
  <c r="AZ122" i="3"/>
  <c r="AZ120" i="3"/>
  <c r="AG9" i="3" a="1"/>
  <c r="AG9" i="3" s="1"/>
  <c r="AG8" i="3"/>
  <c r="AF12" i="3"/>
  <c r="AF2" i="3" s="1"/>
  <c r="AF13" i="3"/>
  <c r="AF3" i="3" s="1"/>
  <c r="AM22" i="2" s="1"/>
  <c r="AM14" i="6" s="1"/>
  <c r="AK14" i="2"/>
  <c r="AK15" i="2" s="1"/>
  <c r="AG9" i="2"/>
  <c r="AP55" i="3" l="1"/>
  <c r="AP56" i="3"/>
  <c r="AP57" i="3" s="1"/>
  <c r="AW103" i="3"/>
  <c r="AX101" i="3"/>
  <c r="AX102" i="3" s="1"/>
  <c r="AX100" i="3"/>
  <c r="AY97" i="3" s="1"/>
  <c r="AY99" i="3" s="1" a="1"/>
  <c r="AY99" i="3" s="1"/>
  <c r="Q8" i="5"/>
  <c r="Q8" i="7"/>
  <c r="R23" i="2"/>
  <c r="R6" i="5" s="1"/>
  <c r="AK15" i="6"/>
  <c r="AK21" i="2"/>
  <c r="BI190" i="3"/>
  <c r="BJ187" i="3" s="1"/>
  <c r="BJ186" i="3" s="1"/>
  <c r="BI191" i="3"/>
  <c r="BI192" i="3" s="1"/>
  <c r="BI194" i="3"/>
  <c r="BH181" i="3"/>
  <c r="BI178" i="3" s="1"/>
  <c r="BI177" i="3" s="1"/>
  <c r="BH185" i="3"/>
  <c r="BH182" i="3"/>
  <c r="BD130" i="3"/>
  <c r="AT94" i="3"/>
  <c r="AU88" i="3"/>
  <c r="AI19" i="3"/>
  <c r="AI23" i="3"/>
  <c r="AI20" i="3"/>
  <c r="AI21" i="3" s="1"/>
  <c r="AL32" i="3"/>
  <c r="AL29" i="3"/>
  <c r="AL31" i="3" s="1"/>
  <c r="BD148" i="3"/>
  <c r="BE142" i="3"/>
  <c r="AG10" i="3"/>
  <c r="AH7" i="3" s="1"/>
  <c r="AR73" i="3"/>
  <c r="AS70" i="3" s="1"/>
  <c r="AS69" i="3" s="1"/>
  <c r="AS77" i="3" s="1"/>
  <c r="BE126" i="3" a="1"/>
  <c r="BE126" i="3" s="1"/>
  <c r="BE123" i="3"/>
  <c r="BE125" i="3"/>
  <c r="BD129" i="3"/>
  <c r="BI151" i="3"/>
  <c r="BH157" i="3"/>
  <c r="BH156" i="3"/>
  <c r="AL36" i="3" a="1"/>
  <c r="AL36" i="3" s="1"/>
  <c r="AL33" i="3"/>
  <c r="AL38" i="3" s="1"/>
  <c r="AL35" i="3"/>
  <c r="BB136" i="3"/>
  <c r="BA105" i="3"/>
  <c r="BA110" i="3" s="1"/>
  <c r="BA108" i="3" a="1"/>
  <c r="BA108" i="3" s="1"/>
  <c r="BA107" i="3"/>
  <c r="AZ121" i="3"/>
  <c r="BA115" i="3"/>
  <c r="AR60" i="3"/>
  <c r="AR65" i="3" s="1"/>
  <c r="AR62" i="3"/>
  <c r="AR63" i="3" a="1"/>
  <c r="AR63" i="3" s="1"/>
  <c r="BF175" i="3"/>
  <c r="BG169" i="3"/>
  <c r="BI163" i="3"/>
  <c r="AM27" i="3" a="1"/>
  <c r="AM27" i="3" s="1"/>
  <c r="AM24" i="3"/>
  <c r="AM32" i="3" s="1"/>
  <c r="AM26" i="3"/>
  <c r="AN50" i="3"/>
  <c r="AN48" i="3"/>
  <c r="AG12" i="3"/>
  <c r="AG2" i="3" s="1"/>
  <c r="AR77" i="3"/>
  <c r="AN46" i="3"/>
  <c r="BI167" i="3"/>
  <c r="AV86" i="3"/>
  <c r="AV84" i="3"/>
  <c r="BB140" i="3"/>
  <c r="AV82" i="3"/>
  <c r="AG13" i="3"/>
  <c r="AG3" i="3" s="1"/>
  <c r="AN22" i="2" s="1"/>
  <c r="AN14" i="6" s="1"/>
  <c r="AK16" i="2"/>
  <c r="AH9" i="2"/>
  <c r="AP58" i="3" l="1"/>
  <c r="AQ52" i="3"/>
  <c r="AX103" i="3"/>
  <c r="AY96" i="3"/>
  <c r="AY98" i="3"/>
  <c r="AY100" i="3" s="1"/>
  <c r="AZ97" i="3" s="1"/>
  <c r="BI179" i="3"/>
  <c r="BJ189" i="3" a="1"/>
  <c r="BJ189" i="3" s="1"/>
  <c r="BJ188" i="3"/>
  <c r="BH184" i="3"/>
  <c r="BI180" i="3" a="1"/>
  <c r="BI180" i="3" s="1"/>
  <c r="R24" i="2"/>
  <c r="S18" i="2"/>
  <c r="S20" i="2" s="1"/>
  <c r="R8" i="4"/>
  <c r="R23" i="6" s="1"/>
  <c r="R7" i="4"/>
  <c r="AK16" i="6"/>
  <c r="AK13" i="4"/>
  <c r="BH183" i="3"/>
  <c r="BI193" i="3"/>
  <c r="BJ191" i="3"/>
  <c r="BJ194" i="3"/>
  <c r="BI182" i="3"/>
  <c r="BI185" i="3"/>
  <c r="AU87" i="3"/>
  <c r="AU90" i="3" a="1"/>
  <c r="AU90" i="3" s="1"/>
  <c r="AU89" i="3"/>
  <c r="AS74" i="3"/>
  <c r="BE127" i="3"/>
  <c r="BF124" i="3" s="1"/>
  <c r="BE131" i="3"/>
  <c r="BE128" i="3"/>
  <c r="BA109" i="3"/>
  <c r="BA112" i="3" s="1"/>
  <c r="AI22" i="3"/>
  <c r="AJ16" i="3"/>
  <c r="AM29" i="3"/>
  <c r="AM30" i="3" s="1"/>
  <c r="AL30" i="3"/>
  <c r="AS71" i="3"/>
  <c r="BE143" i="3"/>
  <c r="BE141" i="3"/>
  <c r="BE146" i="3" s="1"/>
  <c r="BE144" i="3" a="1"/>
  <c r="BE144" i="3" s="1"/>
  <c r="AS72" i="3" a="1"/>
  <c r="AS72" i="3" s="1"/>
  <c r="AL41" i="3"/>
  <c r="AL39" i="3"/>
  <c r="BI150" i="3"/>
  <c r="BI155" i="3" s="1"/>
  <c r="BI152" i="3"/>
  <c r="BI153" i="3" a="1"/>
  <c r="BI153" i="3" s="1"/>
  <c r="AL37" i="3"/>
  <c r="AR76" i="3"/>
  <c r="AR75" i="3"/>
  <c r="AR64" i="3"/>
  <c r="AS61" i="3" s="1"/>
  <c r="AS62" i="3" s="1"/>
  <c r="BA117" i="3" a="1"/>
  <c r="BA117" i="3" s="1"/>
  <c r="BA114" i="3"/>
  <c r="BA119" i="3" s="1"/>
  <c r="BA116" i="3"/>
  <c r="BB139" i="3"/>
  <c r="BC133" i="3"/>
  <c r="BI166" i="3"/>
  <c r="BJ160" i="3"/>
  <c r="BB138" i="3"/>
  <c r="BG170" i="3"/>
  <c r="BG168" i="3"/>
  <c r="BG173" i="3" s="1"/>
  <c r="BG171" i="3" a="1"/>
  <c r="BG171" i="3" s="1"/>
  <c r="BI165" i="3"/>
  <c r="AM28" i="3"/>
  <c r="BA113" i="3"/>
  <c r="AV85" i="3"/>
  <c r="AW79" i="3"/>
  <c r="AO43" i="3"/>
  <c r="AN49" i="3"/>
  <c r="AR68" i="3"/>
  <c r="AH8" i="3"/>
  <c r="AH6" i="3"/>
  <c r="AH11" i="3" s="1"/>
  <c r="AH9" i="3" a="1"/>
  <c r="AH9" i="3" s="1"/>
  <c r="AI9" i="2"/>
  <c r="F9" i="2"/>
  <c r="R19" i="4" l="1"/>
  <c r="R20" i="4" s="1"/>
  <c r="R7" i="5"/>
  <c r="AQ51" i="3"/>
  <c r="AQ53" i="3"/>
  <c r="AQ54" i="3" a="1"/>
  <c r="AQ54" i="3" s="1"/>
  <c r="AY104" i="3"/>
  <c r="AY101" i="3"/>
  <c r="AY102" i="3" s="1"/>
  <c r="BI181" i="3"/>
  <c r="BJ178" i="3" s="1"/>
  <c r="AZ99" i="3" a="1"/>
  <c r="AZ99" i="3" s="1"/>
  <c r="AZ96" i="3"/>
  <c r="AZ98" i="3"/>
  <c r="BJ192" i="3"/>
  <c r="BJ190" i="3"/>
  <c r="BK187" i="3" s="1"/>
  <c r="BI183" i="3"/>
  <c r="R25" i="2"/>
  <c r="R9" i="4"/>
  <c r="R22" i="6"/>
  <c r="S15" i="4"/>
  <c r="AU91" i="3"/>
  <c r="AV88" i="3" s="1"/>
  <c r="AV90" i="3" s="1" a="1"/>
  <c r="AV90" i="3" s="1"/>
  <c r="AU95" i="3"/>
  <c r="AU92" i="3"/>
  <c r="BB106" i="3"/>
  <c r="BB105" i="3" s="1"/>
  <c r="BE129" i="3"/>
  <c r="AS75" i="3"/>
  <c r="BE130" i="3"/>
  <c r="AS73" i="3"/>
  <c r="AS76" i="3" s="1"/>
  <c r="AJ15" i="3"/>
  <c r="AJ18" i="3" a="1"/>
  <c r="AJ18" i="3" s="1"/>
  <c r="AJ17" i="3"/>
  <c r="BE149" i="3"/>
  <c r="BE147" i="3"/>
  <c r="BE145" i="3"/>
  <c r="AR67" i="3"/>
  <c r="BF123" i="3"/>
  <c r="BF128" i="3" s="1"/>
  <c r="BF126" i="3" a="1"/>
  <c r="BF126" i="3" s="1"/>
  <c r="BF125" i="3"/>
  <c r="BI154" i="3"/>
  <c r="AS63" i="3" a="1"/>
  <c r="AS63" i="3" s="1"/>
  <c r="AS64" i="3" s="1"/>
  <c r="AM34" i="3"/>
  <c r="AL40" i="3"/>
  <c r="BI158" i="3"/>
  <c r="AS60" i="3"/>
  <c r="BA111" i="3"/>
  <c r="BG176" i="3"/>
  <c r="BG172" i="3"/>
  <c r="AR66" i="3"/>
  <c r="AM31" i="3"/>
  <c r="AN25" i="3"/>
  <c r="BJ161" i="3"/>
  <c r="BJ159" i="3"/>
  <c r="BJ164" i="3" s="1"/>
  <c r="BJ162" i="3" a="1"/>
  <c r="BJ162" i="3" s="1"/>
  <c r="BC134" i="3"/>
  <c r="BC135" i="3" a="1"/>
  <c r="BC135" i="3" s="1"/>
  <c r="BC132" i="3"/>
  <c r="BC137" i="3" s="1"/>
  <c r="AW78" i="3"/>
  <c r="AW83" i="3" s="1"/>
  <c r="AW80" i="3"/>
  <c r="AW81" i="3" a="1"/>
  <c r="AW81" i="3" s="1"/>
  <c r="BA118" i="3"/>
  <c r="AO42" i="3"/>
  <c r="AO47" i="3" s="1"/>
  <c r="AO44" i="3"/>
  <c r="AO45" i="3" a="1"/>
  <c r="AO45" i="3" s="1"/>
  <c r="BA122" i="3"/>
  <c r="AH14" i="3"/>
  <c r="AH4" i="3" s="1"/>
  <c r="AH5" i="3"/>
  <c r="AH10" i="3"/>
  <c r="AL14" i="2"/>
  <c r="AL15" i="2" s="1"/>
  <c r="AJ9" i="2"/>
  <c r="AQ55" i="3" l="1"/>
  <c r="AQ56" i="3"/>
  <c r="AQ59" i="3"/>
  <c r="BI184" i="3"/>
  <c r="AY103" i="3"/>
  <c r="AV89" i="3"/>
  <c r="AV91" i="3" s="1"/>
  <c r="AT70" i="3"/>
  <c r="AT69" i="3" s="1"/>
  <c r="AT74" i="3" s="1"/>
  <c r="BJ193" i="3"/>
  <c r="AZ100" i="3"/>
  <c r="BA97" i="3" s="1"/>
  <c r="AZ104" i="3"/>
  <c r="AZ101" i="3"/>
  <c r="AV87" i="3"/>
  <c r="AV95" i="3" s="1"/>
  <c r="R8" i="5"/>
  <c r="R8" i="7"/>
  <c r="S23" i="2"/>
  <c r="S6" i="5" s="1"/>
  <c r="AL15" i="6"/>
  <c r="AL21" i="2"/>
  <c r="BK186" i="3"/>
  <c r="BK188" i="3"/>
  <c r="BK189" i="3" a="1"/>
  <c r="BK189" i="3" s="1"/>
  <c r="BJ179" i="3"/>
  <c r="BJ177" i="3"/>
  <c r="BJ180" i="3" a="1"/>
  <c r="BJ180" i="3" s="1"/>
  <c r="AU94" i="3"/>
  <c r="AU93" i="3"/>
  <c r="BB108" i="3" a="1"/>
  <c r="BB108" i="3" s="1"/>
  <c r="BB107" i="3"/>
  <c r="BB113" i="3"/>
  <c r="BB110" i="3"/>
  <c r="BC136" i="3"/>
  <c r="BD133" i="3" s="1"/>
  <c r="BD132" i="3" s="1"/>
  <c r="BD140" i="3" s="1"/>
  <c r="AS68" i="3"/>
  <c r="AS65" i="3"/>
  <c r="AJ19" i="3"/>
  <c r="AJ20" i="3"/>
  <c r="AJ21" i="3" s="1"/>
  <c r="AJ23" i="3"/>
  <c r="BE148" i="3"/>
  <c r="BF142" i="3"/>
  <c r="BF127" i="3"/>
  <c r="BG124" i="3" s="1"/>
  <c r="BG125" i="3" s="1"/>
  <c r="BF131" i="3"/>
  <c r="BF129" i="3"/>
  <c r="AW82" i="3"/>
  <c r="AX79" i="3" s="1"/>
  <c r="AX80" i="3" s="1"/>
  <c r="AM36" i="3" a="1"/>
  <c r="AM36" i="3" s="1"/>
  <c r="AM35" i="3"/>
  <c r="AM33" i="3"/>
  <c r="AM38" i="3" s="1"/>
  <c r="BI157" i="3"/>
  <c r="BJ151" i="3"/>
  <c r="BI156" i="3"/>
  <c r="BJ167" i="3"/>
  <c r="BJ163" i="3"/>
  <c r="BG175" i="3"/>
  <c r="BH169" i="3"/>
  <c r="BA121" i="3"/>
  <c r="BB115" i="3"/>
  <c r="AO46" i="3"/>
  <c r="BC140" i="3"/>
  <c r="AN26" i="3"/>
  <c r="AN27" i="3" a="1"/>
  <c r="AN27" i="3" s="1"/>
  <c r="AN24" i="3"/>
  <c r="AN29" i="3" s="1"/>
  <c r="AT61" i="3"/>
  <c r="AO50" i="3"/>
  <c r="AW86" i="3"/>
  <c r="BA120" i="3"/>
  <c r="BG174" i="3"/>
  <c r="AH13" i="3"/>
  <c r="AH3" i="3" s="1"/>
  <c r="AO22" i="2" s="1"/>
  <c r="AO14" i="6" s="1"/>
  <c r="AI7" i="3"/>
  <c r="AH12" i="3"/>
  <c r="AH2" i="3" s="1"/>
  <c r="AL16" i="2"/>
  <c r="AK9" i="2"/>
  <c r="AR52" i="3" l="1"/>
  <c r="AQ58" i="3"/>
  <c r="AQ57" i="3"/>
  <c r="AT72" i="3" a="1"/>
  <c r="AT72" i="3" s="1"/>
  <c r="AT71" i="3"/>
  <c r="AZ103" i="3"/>
  <c r="AZ102" i="3"/>
  <c r="BA99" i="3" a="1"/>
  <c r="BA99" i="3" s="1"/>
  <c r="BA98" i="3"/>
  <c r="BA96" i="3"/>
  <c r="AV92" i="3"/>
  <c r="AV93" i="3" s="1"/>
  <c r="BD135" i="3" a="1"/>
  <c r="BD135" i="3" s="1"/>
  <c r="BD134" i="3"/>
  <c r="S24" i="2"/>
  <c r="S8" i="4"/>
  <c r="S23" i="6" s="1"/>
  <c r="S7" i="4"/>
  <c r="T18" i="2"/>
  <c r="T20" i="2" s="1"/>
  <c r="AL16" i="6"/>
  <c r="AL13" i="4"/>
  <c r="BB111" i="3"/>
  <c r="BK190" i="3"/>
  <c r="BK191" i="3"/>
  <c r="BK192" i="3" s="1"/>
  <c r="BK194" i="3"/>
  <c r="BJ185" i="3"/>
  <c r="BJ182" i="3"/>
  <c r="BJ183" i="3" s="1"/>
  <c r="BJ181" i="3"/>
  <c r="BG123" i="3"/>
  <c r="BG131" i="3" s="1"/>
  <c r="BB109" i="3"/>
  <c r="BB112" i="3" s="1"/>
  <c r="AW88" i="3"/>
  <c r="BD137" i="3"/>
  <c r="AS66" i="3"/>
  <c r="AJ22" i="3"/>
  <c r="AK16" i="3"/>
  <c r="BG126" i="3" a="1"/>
  <c r="BG126" i="3" s="1"/>
  <c r="BG127" i="3" s="1"/>
  <c r="BF143" i="3"/>
  <c r="BF141" i="3"/>
  <c r="BF146" i="3" s="1"/>
  <c r="BF144" i="3" a="1"/>
  <c r="BF144" i="3" s="1"/>
  <c r="AX81" i="3" a="1"/>
  <c r="AX81" i="3" s="1"/>
  <c r="AX82" i="3" s="1"/>
  <c r="AX78" i="3"/>
  <c r="AS67" i="3"/>
  <c r="AW85" i="3"/>
  <c r="BF130" i="3"/>
  <c r="AM41" i="3"/>
  <c r="AM39" i="3"/>
  <c r="AM37" i="3"/>
  <c r="BJ152" i="3"/>
  <c r="BJ153" i="3" a="1"/>
  <c r="BJ153" i="3" s="1"/>
  <c r="BJ150" i="3"/>
  <c r="BJ155" i="3" s="1"/>
  <c r="AW84" i="3"/>
  <c r="BC138" i="3"/>
  <c r="AN28" i="3"/>
  <c r="AO25" i="3" s="1"/>
  <c r="AO48" i="3"/>
  <c r="BJ166" i="3"/>
  <c r="BK160" i="3"/>
  <c r="AT77" i="3"/>
  <c r="AT63" i="3" a="1"/>
  <c r="AT63" i="3" s="1"/>
  <c r="AT60" i="3"/>
  <c r="AT65" i="3" s="1"/>
  <c r="AT62" i="3"/>
  <c r="BH168" i="3"/>
  <c r="BH173" i="3" s="1"/>
  <c r="BH171" i="3" a="1"/>
  <c r="BH171" i="3" s="1"/>
  <c r="BH170" i="3"/>
  <c r="AO49" i="3"/>
  <c r="AP43" i="3"/>
  <c r="BC139" i="3"/>
  <c r="AN32" i="3"/>
  <c r="AN30" i="3"/>
  <c r="BJ165" i="3"/>
  <c r="BB116" i="3"/>
  <c r="BB117" i="3" a="1"/>
  <c r="BB117" i="3" s="1"/>
  <c r="BB114" i="3"/>
  <c r="BB119" i="3" s="1"/>
  <c r="AI9" i="3" a="1"/>
  <c r="AI9" i="3" s="1"/>
  <c r="AI6" i="3"/>
  <c r="AI11" i="3" s="1"/>
  <c r="AI8" i="3"/>
  <c r="F31" i="6"/>
  <c r="AL9" i="2"/>
  <c r="S19" i="4" l="1"/>
  <c r="S20" i="4" s="1"/>
  <c r="S7" i="5"/>
  <c r="AR54" i="3" a="1"/>
  <c r="AR54" i="3" s="1"/>
  <c r="AR51" i="3"/>
  <c r="AR53" i="3"/>
  <c r="AT73" i="3"/>
  <c r="AU70" i="3" s="1"/>
  <c r="AU71" i="3" s="1"/>
  <c r="AT75" i="3"/>
  <c r="AV94" i="3"/>
  <c r="BD136" i="3"/>
  <c r="BE133" i="3" s="1"/>
  <c r="BE134" i="3" s="1"/>
  <c r="BA101" i="3"/>
  <c r="BA102" i="3" s="1"/>
  <c r="BA104" i="3"/>
  <c r="BA100" i="3"/>
  <c r="BG128" i="3"/>
  <c r="BG129" i="3" s="1"/>
  <c r="S25" i="2"/>
  <c r="S22" i="6"/>
  <c r="S9" i="4"/>
  <c r="T15" i="4"/>
  <c r="BK193" i="3"/>
  <c r="BJ184" i="3"/>
  <c r="BK178" i="3"/>
  <c r="BC106" i="3"/>
  <c r="BC105" i="3" s="1"/>
  <c r="BC110" i="3" s="1"/>
  <c r="BD138" i="3"/>
  <c r="AW89" i="3"/>
  <c r="AW87" i="3"/>
  <c r="AW90" i="3" a="1"/>
  <c r="AW90" i="3" s="1"/>
  <c r="AX86" i="3"/>
  <c r="AX83" i="3"/>
  <c r="AX84" i="3" s="1"/>
  <c r="AK18" i="3" a="1"/>
  <c r="AK18" i="3" s="1"/>
  <c r="AK17" i="3"/>
  <c r="AK15" i="3"/>
  <c r="BF149" i="3"/>
  <c r="BF145" i="3"/>
  <c r="BG142" i="3" s="1"/>
  <c r="AN31" i="3"/>
  <c r="BH124" i="3"/>
  <c r="BJ154" i="3"/>
  <c r="BK151" i="3" s="1"/>
  <c r="AM40" i="3"/>
  <c r="AN34" i="3"/>
  <c r="BH172" i="3"/>
  <c r="BI169" i="3" s="1"/>
  <c r="BI170" i="3" s="1"/>
  <c r="BJ158" i="3"/>
  <c r="BJ156" i="3"/>
  <c r="AT64" i="3"/>
  <c r="AU61" i="3" s="1"/>
  <c r="AU63" i="3" s="1" a="1"/>
  <c r="AU63" i="3" s="1"/>
  <c r="BB122" i="3"/>
  <c r="BB120" i="3"/>
  <c r="AO26" i="3"/>
  <c r="AO24" i="3"/>
  <c r="AO27" i="3" a="1"/>
  <c r="AO27" i="3" s="1"/>
  <c r="BB118" i="3"/>
  <c r="AT68" i="3"/>
  <c r="AP45" i="3" a="1"/>
  <c r="AP45" i="3" s="1"/>
  <c r="AP42" i="3"/>
  <c r="AP47" i="3" s="1"/>
  <c r="AP44" i="3"/>
  <c r="AY79" i="3"/>
  <c r="BK159" i="3"/>
  <c r="BK164" i="3" s="1"/>
  <c r="BK161" i="3"/>
  <c r="BK162" i="3" a="1"/>
  <c r="BK162" i="3" s="1"/>
  <c r="BH176" i="3"/>
  <c r="AI10" i="3"/>
  <c r="AJ7" i="3" s="1"/>
  <c r="AJ8" i="3" s="1"/>
  <c r="AI14" i="3"/>
  <c r="AI4" i="3" s="1"/>
  <c r="AI5" i="3"/>
  <c r="AM14" i="2"/>
  <c r="AM15" i="2" s="1"/>
  <c r="AM9" i="2"/>
  <c r="AU69" i="3" l="1"/>
  <c r="AU77" i="3" s="1"/>
  <c r="AR55" i="3"/>
  <c r="AS52" i="3" s="1"/>
  <c r="AU72" i="3" a="1"/>
  <c r="AU72" i="3" s="1"/>
  <c r="AU73" i="3" s="1"/>
  <c r="AT76" i="3"/>
  <c r="AR59" i="3"/>
  <c r="AR56" i="3"/>
  <c r="AR57" i="3" s="1"/>
  <c r="BE135" i="3" a="1"/>
  <c r="BE135" i="3" s="1"/>
  <c r="BE136" i="3" s="1"/>
  <c r="BF133" i="3" s="1"/>
  <c r="AU74" i="3"/>
  <c r="AU76" i="3" s="1"/>
  <c r="BE132" i="3"/>
  <c r="BE140" i="3" s="1"/>
  <c r="BD139" i="3"/>
  <c r="BG130" i="3"/>
  <c r="BB97" i="3"/>
  <c r="BA103" i="3"/>
  <c r="S8" i="5"/>
  <c r="S8" i="7"/>
  <c r="T23" i="2"/>
  <c r="T6" i="5" s="1"/>
  <c r="AM15" i="6"/>
  <c r="AM21" i="2"/>
  <c r="BC107" i="3"/>
  <c r="BC108" i="3" a="1"/>
  <c r="BC108" i="3" s="1"/>
  <c r="BC111" i="3" s="1"/>
  <c r="BK180" i="3" a="1"/>
  <c r="BK180" i="3" s="1"/>
  <c r="BK179" i="3"/>
  <c r="BK177" i="3"/>
  <c r="BI168" i="3"/>
  <c r="AW95" i="3"/>
  <c r="AW92" i="3"/>
  <c r="AW93" i="3" s="1"/>
  <c r="AW91" i="3"/>
  <c r="AU60" i="3"/>
  <c r="AU62" i="3"/>
  <c r="AU64" i="3" s="1"/>
  <c r="AV61" i="3" s="1"/>
  <c r="BI171" i="3" a="1"/>
  <c r="BI171" i="3" s="1"/>
  <c r="AK19" i="3"/>
  <c r="AL16" i="3" s="1"/>
  <c r="AL17" i="3" s="1"/>
  <c r="AK20" i="3"/>
  <c r="AK21" i="3" s="1"/>
  <c r="AK23" i="3"/>
  <c r="AO32" i="3"/>
  <c r="AO29" i="3"/>
  <c r="AO30" i="3" s="1"/>
  <c r="AX85" i="3"/>
  <c r="BG141" i="3"/>
  <c r="BG143" i="3"/>
  <c r="BG144" i="3" a="1"/>
  <c r="BG144" i="3" s="1"/>
  <c r="BF148" i="3"/>
  <c r="BF147" i="3"/>
  <c r="AJ6" i="3"/>
  <c r="AJ11" i="3" s="1"/>
  <c r="AJ5" i="3" s="1"/>
  <c r="AJ9" i="3" a="1"/>
  <c r="AJ9" i="3" s="1"/>
  <c r="AJ10" i="3" s="1"/>
  <c r="BH123" i="3"/>
  <c r="BH128" i="3" s="1"/>
  <c r="BH126" i="3" a="1"/>
  <c r="BH126" i="3" s="1"/>
  <c r="BH125" i="3"/>
  <c r="AP46" i="3"/>
  <c r="AQ43" i="3" s="1"/>
  <c r="BK150" i="3"/>
  <c r="BK152" i="3"/>
  <c r="BK153" i="3" a="1"/>
  <c r="BK153" i="3" s="1"/>
  <c r="AT67" i="3"/>
  <c r="AT66" i="3"/>
  <c r="AN35" i="3"/>
  <c r="AN33" i="3"/>
  <c r="AN38" i="3" s="1"/>
  <c r="AN36" i="3" a="1"/>
  <c r="AN36" i="3" s="1"/>
  <c r="BJ157" i="3"/>
  <c r="BH174" i="3"/>
  <c r="BH175" i="3"/>
  <c r="BB121" i="3"/>
  <c r="BC115" i="3"/>
  <c r="AP50" i="3"/>
  <c r="AO28" i="3"/>
  <c r="BK163" i="3"/>
  <c r="BC113" i="3"/>
  <c r="BK167" i="3"/>
  <c r="BK165" i="3"/>
  <c r="AY81" i="3" a="1"/>
  <c r="AY81" i="3" s="1"/>
  <c r="AY80" i="3"/>
  <c r="AY78" i="3"/>
  <c r="AY83" i="3" s="1"/>
  <c r="AV70" i="3"/>
  <c r="AI12" i="3"/>
  <c r="AI2" i="3" s="1"/>
  <c r="AI13" i="3"/>
  <c r="AI3" i="3" s="1"/>
  <c r="AP22" i="2" s="1"/>
  <c r="AP14" i="6" s="1"/>
  <c r="AM16" i="2"/>
  <c r="AN9" i="2"/>
  <c r="AR58" i="3" l="1"/>
  <c r="AS54" i="3" a="1"/>
  <c r="AS54" i="3" s="1"/>
  <c r="AS53" i="3"/>
  <c r="AS51" i="3"/>
  <c r="AS59" i="3" s="1"/>
  <c r="BE137" i="3"/>
  <c r="BE138" i="3" s="1"/>
  <c r="AU75" i="3"/>
  <c r="BB99" i="3" a="1"/>
  <c r="BB99" i="3" s="1"/>
  <c r="BB98" i="3"/>
  <c r="BB96" i="3"/>
  <c r="BC109" i="3"/>
  <c r="BC112" i="3" s="1"/>
  <c r="BK181" i="3"/>
  <c r="T24" i="2"/>
  <c r="T7" i="4"/>
  <c r="U18" i="2"/>
  <c r="U20" i="2" s="1"/>
  <c r="T8" i="4"/>
  <c r="T23" i="6" s="1"/>
  <c r="AM16" i="6"/>
  <c r="AM13" i="4"/>
  <c r="BK182" i="3"/>
  <c r="BK185" i="3"/>
  <c r="AL18" i="3" a="1"/>
  <c r="AL18" i="3" s="1"/>
  <c r="AL19" i="3" s="1"/>
  <c r="AL15" i="3"/>
  <c r="AL20" i="3" s="1"/>
  <c r="AK22" i="3"/>
  <c r="AW94" i="3"/>
  <c r="AX88" i="3"/>
  <c r="BI176" i="3"/>
  <c r="BI173" i="3"/>
  <c r="BI174" i="3" s="1"/>
  <c r="BI172" i="3"/>
  <c r="BJ169" i="3" s="1"/>
  <c r="BG149" i="3"/>
  <c r="BG146" i="3"/>
  <c r="AJ14" i="3"/>
  <c r="AJ4" i="3" s="1"/>
  <c r="AU68" i="3"/>
  <c r="AU65" i="3"/>
  <c r="BK158" i="3"/>
  <c r="BK155" i="3"/>
  <c r="BK156" i="3" s="1"/>
  <c r="BH127" i="3"/>
  <c r="BI124" i="3" s="1"/>
  <c r="BG145" i="3"/>
  <c r="BH142" i="3" s="1"/>
  <c r="BH131" i="3"/>
  <c r="BH129" i="3"/>
  <c r="AP49" i="3"/>
  <c r="AN41" i="3"/>
  <c r="AN37" i="3"/>
  <c r="BK154" i="3"/>
  <c r="AP48" i="3"/>
  <c r="AY86" i="3"/>
  <c r="AY84" i="3"/>
  <c r="BC114" i="3"/>
  <c r="BC119" i="3" s="1"/>
  <c r="BC116" i="3"/>
  <c r="BC117" i="3" a="1"/>
  <c r="BC117" i="3" s="1"/>
  <c r="AY82" i="3"/>
  <c r="AP25" i="3"/>
  <c r="AO31" i="3"/>
  <c r="AQ45" i="3" a="1"/>
  <c r="AQ45" i="3" s="1"/>
  <c r="AQ44" i="3"/>
  <c r="AQ42" i="3"/>
  <c r="BK166" i="3"/>
  <c r="BF135" i="3" a="1"/>
  <c r="BF135" i="3" s="1"/>
  <c r="BF132" i="3"/>
  <c r="BF134" i="3"/>
  <c r="AV71" i="3"/>
  <c r="AV72" i="3" a="1"/>
  <c r="AV72" i="3" s="1"/>
  <c r="AV69" i="3"/>
  <c r="AV74" i="3" s="1"/>
  <c r="AV63" i="3" a="1"/>
  <c r="AV63" i="3" s="1"/>
  <c r="AV60" i="3"/>
  <c r="AV62" i="3"/>
  <c r="AK7" i="3"/>
  <c r="AO9" i="2"/>
  <c r="AF11" i="2"/>
  <c r="T19" i="4" l="1"/>
  <c r="T20" i="4" s="1"/>
  <c r="T7" i="5"/>
  <c r="BD106" i="3"/>
  <c r="BF137" i="3"/>
  <c r="AS55" i="3"/>
  <c r="AT52" i="3" s="1"/>
  <c r="AT54" i="3" s="1" a="1"/>
  <c r="AT54" i="3" s="1"/>
  <c r="AS56" i="3"/>
  <c r="BE139" i="3"/>
  <c r="BB100" i="3"/>
  <c r="BC97" i="3" s="1"/>
  <c r="BB101" i="3"/>
  <c r="BB102" i="3" s="1"/>
  <c r="BB104" i="3"/>
  <c r="BK184" i="3"/>
  <c r="BK183" i="3"/>
  <c r="T25" i="2"/>
  <c r="U15" i="4"/>
  <c r="T22" i="6"/>
  <c r="T9" i="4"/>
  <c r="BI175" i="3"/>
  <c r="AL23" i="3"/>
  <c r="AL21" i="3"/>
  <c r="AX87" i="3"/>
  <c r="AX90" i="3" a="1"/>
  <c r="AX90" i="3" s="1"/>
  <c r="AX89" i="3"/>
  <c r="BG148" i="3"/>
  <c r="AV65" i="3"/>
  <c r="AU66" i="3"/>
  <c r="AJ12" i="3"/>
  <c r="AJ2" i="3" s="1"/>
  <c r="AU67" i="3"/>
  <c r="AJ13" i="3"/>
  <c r="AJ3" i="3" s="1"/>
  <c r="AQ22" i="2" s="1"/>
  <c r="AQ14" i="6" s="1"/>
  <c r="BK157" i="3"/>
  <c r="BG147" i="3"/>
  <c r="AM16" i="3"/>
  <c r="AL22" i="3"/>
  <c r="AQ50" i="3"/>
  <c r="AQ47" i="3"/>
  <c r="AQ48" i="3" s="1"/>
  <c r="BH141" i="3"/>
  <c r="BH146" i="3" s="1"/>
  <c r="BH144" i="3" a="1"/>
  <c r="BH144" i="3" s="1"/>
  <c r="BH143" i="3"/>
  <c r="BH130" i="3"/>
  <c r="BI126" i="3" a="1"/>
  <c r="BI126" i="3" s="1"/>
  <c r="BI123" i="3"/>
  <c r="BI128" i="3" s="1"/>
  <c r="BI125" i="3"/>
  <c r="AQ46" i="3"/>
  <c r="AR43" i="3" s="1"/>
  <c r="AN40" i="3"/>
  <c r="AO34" i="3"/>
  <c r="AN39" i="3"/>
  <c r="BC122" i="3"/>
  <c r="BC120" i="3"/>
  <c r="BF136" i="3"/>
  <c r="AP26" i="3"/>
  <c r="AP27" i="3" a="1"/>
  <c r="AP27" i="3" s="1"/>
  <c r="AP24" i="3"/>
  <c r="AP29" i="3" s="1"/>
  <c r="BJ168" i="3"/>
  <c r="BJ173" i="3" s="1"/>
  <c r="BJ170" i="3"/>
  <c r="BJ171" i="3" a="1"/>
  <c r="BJ171" i="3" s="1"/>
  <c r="BF140" i="3"/>
  <c r="AY85" i="3"/>
  <c r="AZ79" i="3"/>
  <c r="AV77" i="3"/>
  <c r="AV75" i="3"/>
  <c r="AV73" i="3"/>
  <c r="BD105" i="3"/>
  <c r="BD110" i="3" s="1"/>
  <c r="BD107" i="3"/>
  <c r="BD108" i="3" a="1"/>
  <c r="BD108" i="3" s="1"/>
  <c r="AV64" i="3"/>
  <c r="AV68" i="3"/>
  <c r="BC118" i="3"/>
  <c r="AK9" i="3" a="1"/>
  <c r="AK9" i="3" s="1"/>
  <c r="AK8" i="3"/>
  <c r="AK6" i="3"/>
  <c r="AK11" i="3" s="1"/>
  <c r="AN14" i="2"/>
  <c r="AN15" i="2" s="1"/>
  <c r="AF17" i="6"/>
  <c r="AP9" i="2"/>
  <c r="AF10" i="4"/>
  <c r="AG11" i="2"/>
  <c r="AG17" i="6" s="1"/>
  <c r="AT51" i="3" l="1"/>
  <c r="AT59" i="3" s="1"/>
  <c r="AT53" i="3"/>
  <c r="AT55" i="3" s="1"/>
  <c r="AS58" i="3"/>
  <c r="AS57" i="3"/>
  <c r="BB103" i="3"/>
  <c r="BC98" i="3"/>
  <c r="BC96" i="3"/>
  <c r="BC99" i="3" a="1"/>
  <c r="BC99" i="3" s="1"/>
  <c r="T8" i="5"/>
  <c r="T8" i="7"/>
  <c r="U23" i="2"/>
  <c r="U6" i="5" s="1"/>
  <c r="AN15" i="6"/>
  <c r="AN21" i="2"/>
  <c r="AX91" i="3"/>
  <c r="BH145" i="3"/>
  <c r="BI142" i="3" s="1"/>
  <c r="BI143" i="3" s="1"/>
  <c r="AX95" i="3"/>
  <c r="AX92" i="3"/>
  <c r="AX93" i="3" s="1"/>
  <c r="BI127" i="3"/>
  <c r="BJ124" i="3" s="1"/>
  <c r="BJ123" i="3" s="1"/>
  <c r="BJ131" i="3" s="1"/>
  <c r="AM17" i="3"/>
  <c r="AM15" i="3"/>
  <c r="AM18" i="3" a="1"/>
  <c r="AM18" i="3" s="1"/>
  <c r="BH149" i="3"/>
  <c r="BI131" i="3"/>
  <c r="AO36" i="3" a="1"/>
  <c r="AO36" i="3" s="1"/>
  <c r="AO33" i="3"/>
  <c r="AO38" i="3" s="1"/>
  <c r="AO35" i="3"/>
  <c r="BD109" i="3"/>
  <c r="BE106" i="3" s="1"/>
  <c r="BC121" i="3"/>
  <c r="BD115" i="3"/>
  <c r="AV76" i="3"/>
  <c r="AW70" i="3"/>
  <c r="AP32" i="3"/>
  <c r="BD113" i="3"/>
  <c r="BD111" i="3"/>
  <c r="BF138" i="3"/>
  <c r="AP28" i="3"/>
  <c r="AQ49" i="3"/>
  <c r="AV67" i="3"/>
  <c r="AW61" i="3"/>
  <c r="BF139" i="3"/>
  <c r="BG133" i="3"/>
  <c r="AR42" i="3"/>
  <c r="AR50" i="3" s="1"/>
  <c r="AR44" i="3"/>
  <c r="AR45" i="3" a="1"/>
  <c r="AR45" i="3" s="1"/>
  <c r="BJ172" i="3"/>
  <c r="AZ81" i="3" a="1"/>
  <c r="AZ81" i="3" s="1"/>
  <c r="AZ78" i="3"/>
  <c r="AZ83" i="3" s="1"/>
  <c r="AZ80" i="3"/>
  <c r="BJ176" i="3"/>
  <c r="BJ174" i="3"/>
  <c r="AV66" i="3"/>
  <c r="AK10" i="3"/>
  <c r="AL7" i="3" s="1"/>
  <c r="AL6" i="3" s="1"/>
  <c r="AL14" i="3" s="1"/>
  <c r="AL4" i="3" s="1"/>
  <c r="AK14" i="3"/>
  <c r="AK4" i="3" s="1"/>
  <c r="AK5" i="3"/>
  <c r="AN16" i="2"/>
  <c r="AQ9" i="2"/>
  <c r="AG10" i="4"/>
  <c r="AH11" i="2"/>
  <c r="AH17" i="6" s="1"/>
  <c r="F17" i="6" s="1"/>
  <c r="AT56" i="3" l="1"/>
  <c r="AT57" i="3" s="1"/>
  <c r="AU52" i="3"/>
  <c r="BC101" i="3"/>
  <c r="BC102" i="3" s="1"/>
  <c r="BC104" i="3"/>
  <c r="BC100" i="3"/>
  <c r="AL11" i="3"/>
  <c r="AL5" i="3" s="1"/>
  <c r="U24" i="2"/>
  <c r="U7" i="4"/>
  <c r="U8" i="4"/>
  <c r="V18" i="2"/>
  <c r="V20" i="2" s="1"/>
  <c r="AN16" i="6"/>
  <c r="AN13" i="4"/>
  <c r="BJ126" i="3" a="1"/>
  <c r="BJ126" i="3" s="1"/>
  <c r="BJ125" i="3"/>
  <c r="BI144" i="3" a="1"/>
  <c r="BI144" i="3" s="1"/>
  <c r="BI145" i="3" s="1"/>
  <c r="BI141" i="3"/>
  <c r="BI149" i="3" s="1"/>
  <c r="BJ128" i="3"/>
  <c r="AX94" i="3"/>
  <c r="AY88" i="3"/>
  <c r="AM20" i="3"/>
  <c r="AM21" i="3" s="1"/>
  <c r="AM23" i="3"/>
  <c r="AM19" i="3"/>
  <c r="AR47" i="3"/>
  <c r="BH148" i="3"/>
  <c r="BH147" i="3"/>
  <c r="AR46" i="3"/>
  <c r="AS43" i="3" s="1"/>
  <c r="AO37" i="3"/>
  <c r="AP34" i="3" s="1"/>
  <c r="BI129" i="3"/>
  <c r="BI130" i="3"/>
  <c r="AZ82" i="3"/>
  <c r="BA79" i="3" s="1"/>
  <c r="BD112" i="3"/>
  <c r="AO41" i="3"/>
  <c r="BE107" i="3"/>
  <c r="BE108" i="3" a="1"/>
  <c r="BE108" i="3" s="1"/>
  <c r="BE105" i="3"/>
  <c r="BJ175" i="3"/>
  <c r="BK169" i="3"/>
  <c r="AW62" i="3"/>
  <c r="AW60" i="3"/>
  <c r="AW65" i="3" s="1"/>
  <c r="AW63" i="3" a="1"/>
  <c r="AW63" i="3" s="1"/>
  <c r="AW71" i="3"/>
  <c r="AW69" i="3"/>
  <c r="AW74" i="3" s="1"/>
  <c r="AW72" i="3" a="1"/>
  <c r="AW72" i="3" s="1"/>
  <c r="AP31" i="3"/>
  <c r="AQ25" i="3"/>
  <c r="AP30" i="3"/>
  <c r="AL8" i="3"/>
  <c r="AZ86" i="3"/>
  <c r="BG135" i="3" a="1"/>
  <c r="BG135" i="3" s="1"/>
  <c r="BG134" i="3"/>
  <c r="BG132" i="3"/>
  <c r="BG137" i="3" s="1"/>
  <c r="BD116" i="3"/>
  <c r="BD117" i="3" a="1"/>
  <c r="BD117" i="3" s="1"/>
  <c r="BD114" i="3"/>
  <c r="BD119" i="3" s="1"/>
  <c r="AL9" i="3" a="1"/>
  <c r="AL9" i="3" s="1"/>
  <c r="AK12" i="3"/>
  <c r="AK2" i="3" s="1"/>
  <c r="AK13" i="3"/>
  <c r="AK3" i="3" s="1"/>
  <c r="AR22" i="2" s="1"/>
  <c r="AR14" i="6" s="1"/>
  <c r="F11" i="2"/>
  <c r="AR9" i="2"/>
  <c r="AH10" i="4"/>
  <c r="AI11" i="2"/>
  <c r="AT58" i="3" l="1"/>
  <c r="U19" i="4"/>
  <c r="U20" i="4" s="1"/>
  <c r="U7" i="5"/>
  <c r="AU51" i="3"/>
  <c r="AU53" i="3"/>
  <c r="AU54" i="3" a="1"/>
  <c r="AU54" i="3" s="1"/>
  <c r="BJ129" i="3"/>
  <c r="BC103" i="3"/>
  <c r="BD97" i="3"/>
  <c r="U25" i="2"/>
  <c r="U8" i="5" s="1"/>
  <c r="V15" i="4"/>
  <c r="E15" i="4" s="1"/>
  <c r="E18" i="2"/>
  <c r="U23" i="6"/>
  <c r="U9" i="4"/>
  <c r="U22" i="6"/>
  <c r="BJ127" i="3"/>
  <c r="BJ130" i="3" s="1"/>
  <c r="BI146" i="3"/>
  <c r="BI147" i="3" s="1"/>
  <c r="AY90" i="3" a="1"/>
  <c r="AY90" i="3" s="1"/>
  <c r="AY89" i="3"/>
  <c r="AY87" i="3"/>
  <c r="BE113" i="3"/>
  <c r="BE110" i="3"/>
  <c r="AM22" i="3"/>
  <c r="AN16" i="3"/>
  <c r="AL10" i="3"/>
  <c r="AM7" i="3" s="1"/>
  <c r="AM6" i="3" s="1"/>
  <c r="AM11" i="3" s="1"/>
  <c r="BJ142" i="3"/>
  <c r="AR49" i="3"/>
  <c r="AW73" i="3"/>
  <c r="AX70" i="3" s="1"/>
  <c r="AP35" i="3"/>
  <c r="AP33" i="3"/>
  <c r="AP36" i="3" a="1"/>
  <c r="AP36" i="3" s="1"/>
  <c r="AO39" i="3"/>
  <c r="AO40" i="3"/>
  <c r="AR48" i="3"/>
  <c r="BD118" i="3"/>
  <c r="BK170" i="3"/>
  <c r="BK171" i="3" a="1"/>
  <c r="BK171" i="3" s="1"/>
  <c r="BK168" i="3"/>
  <c r="BK173" i="3" s="1"/>
  <c r="AS45" i="3" a="1"/>
  <c r="AS45" i="3" s="1"/>
  <c r="AS42" i="3"/>
  <c r="AS47" i="3" s="1"/>
  <c r="AS44" i="3"/>
  <c r="BE109" i="3"/>
  <c r="BG140" i="3"/>
  <c r="AZ85" i="3"/>
  <c r="AW68" i="3"/>
  <c r="AL12" i="3"/>
  <c r="AL2" i="3" s="1"/>
  <c r="AZ84" i="3"/>
  <c r="BG136" i="3"/>
  <c r="BA78" i="3"/>
  <c r="BA80" i="3"/>
  <c r="BA81" i="3" a="1"/>
  <c r="BA81" i="3" s="1"/>
  <c r="AW64" i="3"/>
  <c r="BG138" i="3"/>
  <c r="BD122" i="3"/>
  <c r="AQ26" i="3"/>
  <c r="AQ27" i="3" a="1"/>
  <c r="AQ27" i="3" s="1"/>
  <c r="AQ24" i="3"/>
  <c r="AQ29" i="3" s="1"/>
  <c r="AW77" i="3"/>
  <c r="AO14" i="2"/>
  <c r="AO15" i="2" s="1"/>
  <c r="AI17" i="6"/>
  <c r="AS9" i="2"/>
  <c r="AI10" i="4"/>
  <c r="AJ11" i="2"/>
  <c r="AJ17" i="6" s="1"/>
  <c r="AU55" i="3" l="1"/>
  <c r="AU56" i="3"/>
  <c r="AU57" i="3" s="1"/>
  <c r="AU59" i="3"/>
  <c r="AL13" i="3"/>
  <c r="AL3" i="3" s="1"/>
  <c r="AS22" i="2" s="1"/>
  <c r="AS14" i="6" s="1"/>
  <c r="AM9" i="3" a="1"/>
  <c r="AM9" i="3" s="1"/>
  <c r="AM8" i="3"/>
  <c r="BD99" i="3" a="1"/>
  <c r="BD99" i="3" s="1"/>
  <c r="BD98" i="3"/>
  <c r="BD96" i="3"/>
  <c r="U8" i="7"/>
  <c r="V23" i="2"/>
  <c r="V6" i="5" s="1"/>
  <c r="AO15" i="6"/>
  <c r="AO21" i="2"/>
  <c r="BK124" i="3"/>
  <c r="BK126" i="3" s="1" a="1"/>
  <c r="BK126" i="3" s="1"/>
  <c r="BI148" i="3"/>
  <c r="AY91" i="3"/>
  <c r="AY95" i="3"/>
  <c r="AY92" i="3"/>
  <c r="BA86" i="3"/>
  <c r="BA83" i="3"/>
  <c r="BE111" i="3"/>
  <c r="AN18" i="3" a="1"/>
  <c r="AN18" i="3" s="1"/>
  <c r="AN15" i="3"/>
  <c r="AN17" i="3"/>
  <c r="AP41" i="3"/>
  <c r="AP38" i="3"/>
  <c r="AP37" i="3"/>
  <c r="AQ34" i="3" s="1"/>
  <c r="AQ36" i="3" s="1" a="1"/>
  <c r="AQ36" i="3" s="1"/>
  <c r="BJ141" i="3"/>
  <c r="BJ146" i="3" s="1"/>
  <c r="BJ143" i="3"/>
  <c r="BJ144" i="3" a="1"/>
  <c r="BJ144" i="3" s="1"/>
  <c r="BK176" i="3"/>
  <c r="BK174" i="3"/>
  <c r="AQ28" i="3"/>
  <c r="BG139" i="3"/>
  <c r="BH133" i="3"/>
  <c r="BK172" i="3"/>
  <c r="AX61" i="3"/>
  <c r="AW67" i="3"/>
  <c r="AX69" i="3"/>
  <c r="AX72" i="3" a="1"/>
  <c r="AX72" i="3" s="1"/>
  <c r="AX71" i="3"/>
  <c r="AW66" i="3"/>
  <c r="BD121" i="3"/>
  <c r="BE115" i="3"/>
  <c r="BE112" i="3"/>
  <c r="BF106" i="3"/>
  <c r="AW76" i="3"/>
  <c r="BA82" i="3"/>
  <c r="AS46" i="3"/>
  <c r="AQ32" i="3"/>
  <c r="AW75" i="3"/>
  <c r="AS50" i="3"/>
  <c r="BD120" i="3"/>
  <c r="AM14" i="3"/>
  <c r="AM4" i="3" s="1"/>
  <c r="AM5" i="3"/>
  <c r="AO16" i="2"/>
  <c r="AT9" i="2"/>
  <c r="AK11" i="2"/>
  <c r="AK17" i="6" s="1"/>
  <c r="AJ10" i="4"/>
  <c r="AU58" i="3" l="1"/>
  <c r="AV52" i="3"/>
  <c r="AM10" i="3"/>
  <c r="BD100" i="3"/>
  <c r="BE97" i="3" s="1"/>
  <c r="BE98" i="3" s="1"/>
  <c r="BD101" i="3"/>
  <c r="BD104" i="3"/>
  <c r="BK123" i="3"/>
  <c r="BK128" i="3" s="1"/>
  <c r="BK129" i="3" s="1"/>
  <c r="BK125" i="3"/>
  <c r="BK127" i="3" s="1"/>
  <c r="V7" i="4"/>
  <c r="V8" i="4"/>
  <c r="V24" i="2"/>
  <c r="E23" i="2"/>
  <c r="E6" i="5" s="1"/>
  <c r="W18" i="2"/>
  <c r="W20" i="2" s="1"/>
  <c r="AO16" i="6"/>
  <c r="AO13" i="4"/>
  <c r="AN19" i="3"/>
  <c r="AO16" i="3" s="1"/>
  <c r="AO15" i="3" s="1"/>
  <c r="AQ33" i="3"/>
  <c r="AQ41" i="3" s="1"/>
  <c r="AY93" i="3"/>
  <c r="AY94" i="3"/>
  <c r="AZ88" i="3"/>
  <c r="AX73" i="3"/>
  <c r="AY70" i="3" s="1"/>
  <c r="AY72" i="3" s="1" a="1"/>
  <c r="AY72" i="3" s="1"/>
  <c r="BA84" i="3"/>
  <c r="AX77" i="3"/>
  <c r="AX74" i="3"/>
  <c r="AN20" i="3"/>
  <c r="AN23" i="3"/>
  <c r="AQ35" i="3"/>
  <c r="AQ37" i="3" s="1"/>
  <c r="BJ145" i="3"/>
  <c r="BJ149" i="3"/>
  <c r="BJ147" i="3"/>
  <c r="AP39" i="3"/>
  <c r="AP40" i="3"/>
  <c r="BK175" i="3"/>
  <c r="AQ31" i="3"/>
  <c r="AR25" i="3"/>
  <c r="AT43" i="3"/>
  <c r="AS49" i="3"/>
  <c r="AX63" i="3" a="1"/>
  <c r="AX63" i="3" s="1"/>
  <c r="AX62" i="3"/>
  <c r="AX60" i="3"/>
  <c r="AX65" i="3" s="1"/>
  <c r="AS48" i="3"/>
  <c r="BA85" i="3"/>
  <c r="BB79" i="3"/>
  <c r="BE114" i="3"/>
  <c r="BE119" i="3" s="1"/>
  <c r="BE116" i="3"/>
  <c r="BE117" i="3" a="1"/>
  <c r="BE117" i="3" s="1"/>
  <c r="AQ30" i="3"/>
  <c r="BH134" i="3"/>
  <c r="BH135" i="3" a="1"/>
  <c r="BH135" i="3" s="1"/>
  <c r="BH132" i="3"/>
  <c r="BH137" i="3" s="1"/>
  <c r="BF105" i="3"/>
  <c r="BF110" i="3" s="1"/>
  <c r="BF107" i="3"/>
  <c r="BF108" i="3" a="1"/>
  <c r="BF108" i="3" s="1"/>
  <c r="AM13" i="3"/>
  <c r="AM3" i="3" s="1"/>
  <c r="AN7" i="3"/>
  <c r="AM12" i="3"/>
  <c r="AM2" i="3" s="1"/>
  <c r="AP14" i="2"/>
  <c r="AP15" i="2" s="1"/>
  <c r="AU9" i="2"/>
  <c r="G9" i="2"/>
  <c r="AK10" i="4"/>
  <c r="AL11" i="2"/>
  <c r="AL17" i="6" s="1"/>
  <c r="V25" i="2" l="1"/>
  <c r="V8" i="7" s="1"/>
  <c r="V7" i="5"/>
  <c r="AV54" i="3" a="1"/>
  <c r="AV54" i="3" s="1"/>
  <c r="AV53" i="3"/>
  <c r="AV51" i="3"/>
  <c r="BE96" i="3"/>
  <c r="BE101" i="3" s="1"/>
  <c r="BE99" i="3" a="1"/>
  <c r="BE99" i="3" s="1"/>
  <c r="BE100" i="3" s="1"/>
  <c r="BD103" i="3"/>
  <c r="BD102" i="3"/>
  <c r="BK130" i="3"/>
  <c r="BK131" i="3"/>
  <c r="AY69" i="3"/>
  <c r="AY77" i="3" s="1"/>
  <c r="W15" i="4"/>
  <c r="V19" i="4"/>
  <c r="V20" i="4" s="1"/>
  <c r="E24" i="2"/>
  <c r="E7" i="5" s="1"/>
  <c r="V23" i="6"/>
  <c r="E23" i="6" s="1"/>
  <c r="E8" i="4"/>
  <c r="V9" i="4"/>
  <c r="E9" i="4" s="1"/>
  <c r="V22" i="6"/>
  <c r="E22" i="6" s="1"/>
  <c r="E7" i="4"/>
  <c r="AP15" i="6"/>
  <c r="AP21" i="2"/>
  <c r="AY71" i="3"/>
  <c r="AY73" i="3" s="1"/>
  <c r="AX76" i="3"/>
  <c r="AO17" i="3"/>
  <c r="AO18" i="3" a="1"/>
  <c r="AO18" i="3" s="1"/>
  <c r="AN22" i="3"/>
  <c r="AT22" i="2"/>
  <c r="AX75" i="3"/>
  <c r="AQ38" i="3"/>
  <c r="AQ40" i="3" s="1"/>
  <c r="AP16" i="2"/>
  <c r="AN21" i="3"/>
  <c r="AZ87" i="3"/>
  <c r="AZ90" i="3" a="1"/>
  <c r="AZ90" i="3" s="1"/>
  <c r="AZ89" i="3"/>
  <c r="AR34" i="3"/>
  <c r="AR36" i="3" s="1" a="1"/>
  <c r="AR36" i="3" s="1"/>
  <c r="AO20" i="3"/>
  <c r="BK142" i="3"/>
  <c r="BJ148" i="3"/>
  <c r="BE118" i="3"/>
  <c r="BF115" i="3" s="1"/>
  <c r="BH136" i="3"/>
  <c r="BI133" i="3" s="1"/>
  <c r="BI134" i="3" s="1"/>
  <c r="AO23" i="3"/>
  <c r="AR27" i="3" a="1"/>
  <c r="AR27" i="3" s="1"/>
  <c r="AR24" i="3"/>
  <c r="AR29" i="3" s="1"/>
  <c r="AR26" i="3"/>
  <c r="BH140" i="3"/>
  <c r="BE122" i="3"/>
  <c r="BE120" i="3"/>
  <c r="BF109" i="3"/>
  <c r="BF113" i="3"/>
  <c r="AX68" i="3"/>
  <c r="AX66" i="3"/>
  <c r="BB78" i="3"/>
  <c r="BB83" i="3" s="1"/>
  <c r="BB81" i="3" a="1"/>
  <c r="BB81" i="3" s="1"/>
  <c r="BB80" i="3"/>
  <c r="AX64" i="3"/>
  <c r="AT45" i="3" a="1"/>
  <c r="AT45" i="3" s="1"/>
  <c r="AT44" i="3"/>
  <c r="AT42" i="3"/>
  <c r="AT47" i="3" s="1"/>
  <c r="AN6" i="3"/>
  <c r="AN11" i="3" s="1"/>
  <c r="AN9" i="3" a="1"/>
  <c r="AN9" i="3" s="1"/>
  <c r="AN8" i="3"/>
  <c r="AV9" i="2"/>
  <c r="AL10" i="4"/>
  <c r="AM11" i="2"/>
  <c r="AM17" i="6" s="1"/>
  <c r="V8" i="5" l="1"/>
  <c r="E8" i="5" s="1"/>
  <c r="E25" i="2"/>
  <c r="D8" i="8" s="1"/>
  <c r="BE104" i="3"/>
  <c r="AV55" i="3"/>
  <c r="AW52" i="3" s="1"/>
  <c r="AW51" i="3" s="1"/>
  <c r="AV56" i="3"/>
  <c r="AV58" i="3" s="1"/>
  <c r="AV59" i="3"/>
  <c r="AY74" i="3"/>
  <c r="AY75" i="3" s="1"/>
  <c r="W23" i="2"/>
  <c r="W6" i="5" s="1"/>
  <c r="AP16" i="6"/>
  <c r="AP13" i="4"/>
  <c r="AT14" i="6"/>
  <c r="AO19" i="3"/>
  <c r="AP16" i="3" s="1"/>
  <c r="AP18" i="3" s="1" a="1"/>
  <c r="AP18" i="3" s="1"/>
  <c r="AR33" i="3"/>
  <c r="AR38" i="3" s="1"/>
  <c r="AR35" i="3"/>
  <c r="AR37" i="3" s="1"/>
  <c r="AS34" i="3" s="1"/>
  <c r="AS33" i="3" s="1"/>
  <c r="AS41" i="3" s="1"/>
  <c r="AQ39" i="3"/>
  <c r="G22" i="2"/>
  <c r="AZ91" i="3"/>
  <c r="AZ95" i="3"/>
  <c r="AZ92" i="3"/>
  <c r="BI135" i="3" a="1"/>
  <c r="BI135" i="3" s="1"/>
  <c r="BI136" i="3" s="1"/>
  <c r="BI132" i="3"/>
  <c r="BK143" i="3"/>
  <c r="BK141" i="3"/>
  <c r="BK146" i="3" s="1"/>
  <c r="BK144" i="3" a="1"/>
  <c r="BK144" i="3" s="1"/>
  <c r="AO21" i="3"/>
  <c r="BE102" i="3"/>
  <c r="BE103" i="3"/>
  <c r="BF97" i="3"/>
  <c r="BB82" i="3"/>
  <c r="BC79" i="3" s="1"/>
  <c r="BC78" i="3" s="1"/>
  <c r="BC86" i="3" s="1"/>
  <c r="AR32" i="3"/>
  <c r="AR30" i="3"/>
  <c r="BE121" i="3"/>
  <c r="BB86" i="3"/>
  <c r="BG106" i="3"/>
  <c r="BF112" i="3"/>
  <c r="BF114" i="3"/>
  <c r="BF116" i="3"/>
  <c r="BF117" i="3" a="1"/>
  <c r="BF117" i="3" s="1"/>
  <c r="AT50" i="3"/>
  <c r="AZ70" i="3"/>
  <c r="BH138" i="3"/>
  <c r="AT46" i="3"/>
  <c r="BH139" i="3"/>
  <c r="BF111" i="3"/>
  <c r="AX67" i="3"/>
  <c r="AY61" i="3"/>
  <c r="AR28" i="3"/>
  <c r="AN10" i="3"/>
  <c r="AN14" i="3"/>
  <c r="AN4" i="3" s="1"/>
  <c r="AQ14" i="2"/>
  <c r="AQ15" i="2" s="1"/>
  <c r="AW9" i="2"/>
  <c r="AN11" i="2"/>
  <c r="AN17" i="6" s="1"/>
  <c r="AM10" i="4"/>
  <c r="AW53" i="3" l="1"/>
  <c r="AW54" i="3" a="1"/>
  <c r="AW54" i="3" s="1"/>
  <c r="AR9" i="1"/>
  <c r="AV57" i="3"/>
  <c r="AW55" i="3"/>
  <c r="AY76" i="3"/>
  <c r="AW56" i="3"/>
  <c r="AW59" i="3"/>
  <c r="AP15" i="3"/>
  <c r="AP23" i="3" s="1"/>
  <c r="AO22" i="3"/>
  <c r="AP17" i="3"/>
  <c r="AP19" i="3" s="1"/>
  <c r="AQ16" i="3" s="1"/>
  <c r="AQ17" i="3" s="1"/>
  <c r="W7" i="4"/>
  <c r="X18" i="2"/>
  <c r="W8" i="4"/>
  <c r="W23" i="6" s="1"/>
  <c r="W24" i="2"/>
  <c r="AQ15" i="6"/>
  <c r="AQ21" i="2"/>
  <c r="BC81" i="3" a="1"/>
  <c r="BC81" i="3" s="1"/>
  <c r="BC80" i="3"/>
  <c r="AR41" i="3"/>
  <c r="AZ93" i="3"/>
  <c r="AZ94" i="3"/>
  <c r="BA88" i="3"/>
  <c r="BF122" i="3"/>
  <c r="BF119" i="3"/>
  <c r="BI140" i="3"/>
  <c r="BI137" i="3"/>
  <c r="BI139" i="3" s="1"/>
  <c r="BC83" i="3"/>
  <c r="AS38" i="3"/>
  <c r="AN12" i="3"/>
  <c r="AN2" i="3" s="1"/>
  <c r="AN5" i="3"/>
  <c r="BK145" i="3"/>
  <c r="BK149" i="3"/>
  <c r="BK147" i="3"/>
  <c r="AS36" i="3" a="1"/>
  <c r="AS36" i="3" s="1"/>
  <c r="AS35" i="3"/>
  <c r="BF98" i="3"/>
  <c r="BF96" i="3"/>
  <c r="BF101" i="3" s="1"/>
  <c r="BF99" i="3" a="1"/>
  <c r="BF99" i="3" s="1"/>
  <c r="AR39" i="3"/>
  <c r="AR40" i="3"/>
  <c r="BJ133" i="3"/>
  <c r="AT49" i="3"/>
  <c r="AU43" i="3"/>
  <c r="BG105" i="3"/>
  <c r="BG110" i="3" s="1"/>
  <c r="BG108" i="3" a="1"/>
  <c r="BG108" i="3" s="1"/>
  <c r="BG107" i="3"/>
  <c r="AR31" i="3"/>
  <c r="AS25" i="3"/>
  <c r="AY62" i="3"/>
  <c r="AY60" i="3"/>
  <c r="AY65" i="3" s="1"/>
  <c r="AY63" i="3" a="1"/>
  <c r="AY63" i="3" s="1"/>
  <c r="BB85" i="3"/>
  <c r="BF118" i="3"/>
  <c r="AT48" i="3"/>
  <c r="AZ71" i="3"/>
  <c r="AZ72" i="3" a="1"/>
  <c r="AZ72" i="3" s="1"/>
  <c r="AZ69" i="3"/>
  <c r="AZ74" i="3" s="1"/>
  <c r="BB84" i="3"/>
  <c r="AN13" i="3"/>
  <c r="AN3" i="3" s="1"/>
  <c r="AU22" i="2" s="1"/>
  <c r="AU14" i="6" s="1"/>
  <c r="AO7" i="3"/>
  <c r="AQ16" i="2"/>
  <c r="AX9" i="2"/>
  <c r="AN10" i="4"/>
  <c r="W19" i="4" l="1"/>
  <c r="W20" i="4" s="1"/>
  <c r="W7" i="5"/>
  <c r="AP20" i="3"/>
  <c r="AP22" i="3" s="1"/>
  <c r="AW57" i="3"/>
  <c r="AQ18" i="3" a="1"/>
  <c r="AQ18" i="3" s="1"/>
  <c r="AQ19" i="3" s="1"/>
  <c r="AR16" i="3" s="1"/>
  <c r="AR15" i="3" s="1"/>
  <c r="AQ15" i="3"/>
  <c r="AQ23" i="3" s="1"/>
  <c r="AX52" i="3"/>
  <c r="AW58" i="3"/>
  <c r="BC82" i="3"/>
  <c r="BD79" i="3" s="1"/>
  <c r="BD78" i="3" s="1"/>
  <c r="BD83" i="3" s="1"/>
  <c r="X20" i="2"/>
  <c r="X15" i="4" s="1"/>
  <c r="W25" i="2"/>
  <c r="W9" i="4"/>
  <c r="W22" i="6"/>
  <c r="AQ16" i="6"/>
  <c r="AQ13" i="4"/>
  <c r="BA87" i="3"/>
  <c r="BA90" i="3" a="1"/>
  <c r="BA90" i="3" s="1"/>
  <c r="BA89" i="3"/>
  <c r="BI138" i="3"/>
  <c r="BC84" i="3"/>
  <c r="BF120" i="3"/>
  <c r="AP21" i="3"/>
  <c r="AS37" i="3"/>
  <c r="AT34" i="3" s="1"/>
  <c r="AS39" i="3"/>
  <c r="BK148" i="3"/>
  <c r="BF104" i="3"/>
  <c r="BF100" i="3"/>
  <c r="BG109" i="3"/>
  <c r="BG113" i="3"/>
  <c r="BF121" i="3"/>
  <c r="BG115" i="3"/>
  <c r="AZ77" i="3"/>
  <c r="AY68" i="3"/>
  <c r="AY66" i="3"/>
  <c r="AU45" i="3" a="1"/>
  <c r="AU45" i="3" s="1"/>
  <c r="AU44" i="3"/>
  <c r="AU42" i="3"/>
  <c r="AU47" i="3" s="1"/>
  <c r="AZ75" i="3"/>
  <c r="AY64" i="3"/>
  <c r="AZ73" i="3"/>
  <c r="AS24" i="3"/>
  <c r="AS29" i="3" s="1"/>
  <c r="AS26" i="3"/>
  <c r="AS27" i="3" a="1"/>
  <c r="AS27" i="3" s="1"/>
  <c r="BJ132" i="3"/>
  <c r="BJ137" i="3" s="1"/>
  <c r="BJ134" i="3"/>
  <c r="BJ135" i="3" a="1"/>
  <c r="BJ135" i="3" s="1"/>
  <c r="AO8" i="3"/>
  <c r="AO6" i="3"/>
  <c r="AO11" i="3" s="1"/>
  <c r="AO9" i="3" a="1"/>
  <c r="AO9" i="3" s="1"/>
  <c r="AR14" i="2"/>
  <c r="AR15" i="2" s="1"/>
  <c r="AY9" i="2"/>
  <c r="AQ20" i="3" l="1"/>
  <c r="AX54" i="3" a="1"/>
  <c r="AX54" i="3" s="1"/>
  <c r="AX51" i="3"/>
  <c r="AX53" i="3"/>
  <c r="BD80" i="3"/>
  <c r="BD81" i="3" a="1"/>
  <c r="BD81" i="3" s="1"/>
  <c r="BC85" i="3"/>
  <c r="W8" i="5"/>
  <c r="W8" i="7"/>
  <c r="X23" i="2"/>
  <c r="X6" i="5" s="1"/>
  <c r="AR15" i="6"/>
  <c r="AR21" i="2"/>
  <c r="AS40" i="3"/>
  <c r="BA91" i="3"/>
  <c r="BB88" i="3" s="1"/>
  <c r="BB87" i="3" s="1"/>
  <c r="BB95" i="3" s="1"/>
  <c r="BA95" i="3"/>
  <c r="BA92" i="3"/>
  <c r="AR20" i="3"/>
  <c r="AR17" i="3"/>
  <c r="AR18" i="3" a="1"/>
  <c r="AR18" i="3" s="1"/>
  <c r="BG97" i="3"/>
  <c r="BF103" i="3"/>
  <c r="BF102" i="3"/>
  <c r="AT33" i="3"/>
  <c r="AT38" i="3" s="1"/>
  <c r="AT36" i="3" a="1"/>
  <c r="AT36" i="3" s="1"/>
  <c r="AT35" i="3"/>
  <c r="AQ22" i="3"/>
  <c r="AQ21" i="3"/>
  <c r="AU46" i="3"/>
  <c r="AV43" i="3" s="1"/>
  <c r="AV42" i="3" s="1"/>
  <c r="AV50" i="3" s="1"/>
  <c r="AZ76" i="3"/>
  <c r="BA70" i="3"/>
  <c r="BJ136" i="3"/>
  <c r="AU50" i="3"/>
  <c r="BD86" i="3"/>
  <c r="BJ140" i="3"/>
  <c r="BJ138" i="3"/>
  <c r="BG111" i="3"/>
  <c r="BH106" i="3"/>
  <c r="BG112" i="3"/>
  <c r="AS28" i="3"/>
  <c r="BG117" i="3" a="1"/>
  <c r="BG117" i="3" s="1"/>
  <c r="BG114" i="3"/>
  <c r="BG119" i="3" s="1"/>
  <c r="BG116" i="3"/>
  <c r="AR23" i="3"/>
  <c r="AS32" i="3"/>
  <c r="AS30" i="3"/>
  <c r="AY67" i="3"/>
  <c r="AZ61" i="3"/>
  <c r="AO14" i="3"/>
  <c r="AO4" i="3" s="1"/>
  <c r="AO5" i="3"/>
  <c r="AO10" i="3"/>
  <c r="AR16" i="2"/>
  <c r="AZ9" i="2"/>
  <c r="BD82" i="3" l="1"/>
  <c r="BE79" i="3" s="1"/>
  <c r="BE78" i="3" s="1"/>
  <c r="BE86" i="3" s="1"/>
  <c r="AX55" i="3"/>
  <c r="AY52" i="3" s="1"/>
  <c r="AX59" i="3"/>
  <c r="AX56" i="3"/>
  <c r="AX57" i="3" s="1"/>
  <c r="BB89" i="3"/>
  <c r="X7" i="4"/>
  <c r="X8" i="4"/>
  <c r="X23" i="6" s="1"/>
  <c r="Y18" i="2"/>
  <c r="X24" i="2"/>
  <c r="AR16" i="6"/>
  <c r="AR13" i="4"/>
  <c r="BB90" i="3" a="1"/>
  <c r="BB90" i="3" s="1"/>
  <c r="BB92" i="3"/>
  <c r="BA94" i="3"/>
  <c r="BA93" i="3"/>
  <c r="BG118" i="3"/>
  <c r="BH115" i="3" s="1"/>
  <c r="BH117" i="3" s="1" a="1"/>
  <c r="BH117" i="3" s="1"/>
  <c r="BE83" i="3"/>
  <c r="AR19" i="3"/>
  <c r="AS16" i="3" s="1"/>
  <c r="AR21" i="3"/>
  <c r="AV47" i="3"/>
  <c r="BE81" i="3" a="1"/>
  <c r="BE81" i="3" s="1"/>
  <c r="AT37" i="3"/>
  <c r="AU34" i="3" s="1"/>
  <c r="AU33" i="3" s="1"/>
  <c r="AU41" i="3" s="1"/>
  <c r="BG99" i="3" a="1"/>
  <c r="BG99" i="3" s="1"/>
  <c r="BG98" i="3"/>
  <c r="BG96" i="3"/>
  <c r="BG101" i="3" s="1"/>
  <c r="BD85" i="3"/>
  <c r="BE80" i="3"/>
  <c r="AV44" i="3"/>
  <c r="AV45" i="3" a="1"/>
  <c r="AV45" i="3" s="1"/>
  <c r="AT41" i="3"/>
  <c r="BD84" i="3"/>
  <c r="BH105" i="3"/>
  <c r="BH110" i="3" s="1"/>
  <c r="BH107" i="3"/>
  <c r="BH108" i="3" a="1"/>
  <c r="BH108" i="3" s="1"/>
  <c r="AU49" i="3"/>
  <c r="AU48" i="3"/>
  <c r="BJ139" i="3"/>
  <c r="BK133" i="3"/>
  <c r="BA69" i="3"/>
  <c r="BA74" i="3" s="1"/>
  <c r="BA72" i="3" a="1"/>
  <c r="BA72" i="3" s="1"/>
  <c r="BA71" i="3"/>
  <c r="AZ60" i="3"/>
  <c r="AZ65" i="3" s="1"/>
  <c r="AZ62" i="3"/>
  <c r="AZ63" i="3" a="1"/>
  <c r="AZ63" i="3" s="1"/>
  <c r="BG122" i="3"/>
  <c r="AS31" i="3"/>
  <c r="AT25" i="3"/>
  <c r="AO13" i="3"/>
  <c r="AO3" i="3" s="1"/>
  <c r="AV22" i="2" s="1"/>
  <c r="AV14" i="6" s="1"/>
  <c r="AP7" i="3"/>
  <c r="AO12" i="3"/>
  <c r="AO2" i="3" s="1"/>
  <c r="BA9" i="2"/>
  <c r="X19" i="4" l="1"/>
  <c r="X20" i="4" s="1"/>
  <c r="X7" i="5"/>
  <c r="AX58" i="3"/>
  <c r="AY54" i="3" a="1"/>
  <c r="AY54" i="3" s="1"/>
  <c r="AY51" i="3"/>
  <c r="AY59" i="3" s="1"/>
  <c r="AY53" i="3"/>
  <c r="BH116" i="3"/>
  <c r="BH118" i="3" s="1"/>
  <c r="BI115" i="3" s="1"/>
  <c r="BI114" i="3" s="1"/>
  <c r="BI122" i="3" s="1"/>
  <c r="BH114" i="3"/>
  <c r="BH122" i="3" s="1"/>
  <c r="BB91" i="3"/>
  <c r="BC88" i="3" s="1"/>
  <c r="BC90" i="3" s="1" a="1"/>
  <c r="BC90" i="3" s="1"/>
  <c r="BB93" i="3"/>
  <c r="Y20" i="2"/>
  <c r="Y15" i="4" s="1"/>
  <c r="X9" i="4"/>
  <c r="X22" i="6"/>
  <c r="X25" i="2"/>
  <c r="BA73" i="3"/>
  <c r="BB70" i="3" s="1"/>
  <c r="BB69" i="3" s="1"/>
  <c r="BB77" i="3" s="1"/>
  <c r="AR22" i="3"/>
  <c r="BE84" i="3"/>
  <c r="AU38" i="3"/>
  <c r="AV46" i="3"/>
  <c r="AV49" i="3" s="1"/>
  <c r="AU35" i="3"/>
  <c r="BE82" i="3"/>
  <c r="BF79" i="3" s="1"/>
  <c r="AU36" i="3" a="1"/>
  <c r="AU36" i="3" s="1"/>
  <c r="AT40" i="3"/>
  <c r="BG104" i="3"/>
  <c r="AV48" i="3"/>
  <c r="BG100" i="3"/>
  <c r="AT39" i="3"/>
  <c r="AZ68" i="3"/>
  <c r="AT26" i="3"/>
  <c r="AT24" i="3"/>
  <c r="AT29" i="3" s="1"/>
  <c r="AT27" i="3" a="1"/>
  <c r="AT27" i="3" s="1"/>
  <c r="BG120" i="3"/>
  <c r="BA77" i="3"/>
  <c r="AS15" i="3"/>
  <c r="AS20" i="3" s="1"/>
  <c r="AS17" i="3"/>
  <c r="AS18" i="3" a="1"/>
  <c r="AS18" i="3" s="1"/>
  <c r="BK132" i="3"/>
  <c r="BK137" i="3" s="1"/>
  <c r="BK135" i="3" a="1"/>
  <c r="BK135" i="3" s="1"/>
  <c r="BK134" i="3"/>
  <c r="BH109" i="3"/>
  <c r="BH113" i="3"/>
  <c r="BG121" i="3"/>
  <c r="AZ64" i="3"/>
  <c r="AP9" i="3" a="1"/>
  <c r="AP9" i="3" s="1"/>
  <c r="AP6" i="3"/>
  <c r="AP11" i="3" s="1"/>
  <c r="AP8" i="3"/>
  <c r="AS14" i="2"/>
  <c r="AS15" i="2" s="1"/>
  <c r="BB9" i="2"/>
  <c r="AO11" i="2"/>
  <c r="AO17" i="6" s="1"/>
  <c r="AY55" i="3" l="1"/>
  <c r="AZ52" i="3" s="1"/>
  <c r="AZ51" i="3" s="1"/>
  <c r="AY56" i="3"/>
  <c r="BB94" i="3"/>
  <c r="BC89" i="3"/>
  <c r="BC91" i="3" s="1"/>
  <c r="BD88" i="3" s="1"/>
  <c r="BC87" i="3"/>
  <c r="BC95" i="3" s="1"/>
  <c r="BH119" i="3"/>
  <c r="BH120" i="3" s="1"/>
  <c r="BB71" i="3"/>
  <c r="BB72" i="3" a="1"/>
  <c r="BB72" i="3" s="1"/>
  <c r="X8" i="5"/>
  <c r="X8" i="7"/>
  <c r="Y23" i="2"/>
  <c r="Y6" i="5" s="1"/>
  <c r="AS15" i="6"/>
  <c r="AS21" i="2"/>
  <c r="BB74" i="3"/>
  <c r="BE85" i="3"/>
  <c r="AW43" i="3"/>
  <c r="AW42" i="3" s="1"/>
  <c r="AW47" i="3" s="1"/>
  <c r="AU37" i="3"/>
  <c r="AV34" i="3" s="1"/>
  <c r="AV36" i="3" s="1" a="1"/>
  <c r="AV36" i="3" s="1"/>
  <c r="BI117" i="3" a="1"/>
  <c r="BI117" i="3" s="1"/>
  <c r="BI116" i="3"/>
  <c r="AU39" i="3"/>
  <c r="BK136" i="3"/>
  <c r="BK139" i="3" s="1"/>
  <c r="BG103" i="3"/>
  <c r="BH97" i="3"/>
  <c r="AT28" i="3"/>
  <c r="AU25" i="3" s="1"/>
  <c r="BG102" i="3"/>
  <c r="BA75" i="3"/>
  <c r="BA76" i="3"/>
  <c r="AP10" i="3"/>
  <c r="AQ7" i="3" s="1"/>
  <c r="AQ6" i="3" s="1"/>
  <c r="AQ14" i="3" s="1"/>
  <c r="AQ4" i="3" s="1"/>
  <c r="BF78" i="3"/>
  <c r="BF83" i="3" s="1"/>
  <c r="BF81" i="3" a="1"/>
  <c r="BF81" i="3" s="1"/>
  <c r="BF80" i="3"/>
  <c r="AT32" i="3"/>
  <c r="AT30" i="3"/>
  <c r="BH112" i="3"/>
  <c r="BI106" i="3"/>
  <c r="BK140" i="3"/>
  <c r="BH111" i="3"/>
  <c r="AZ67" i="3"/>
  <c r="BA61" i="3"/>
  <c r="AZ66" i="3"/>
  <c r="AS19" i="3"/>
  <c r="AS23" i="3"/>
  <c r="AS21" i="3"/>
  <c r="AP14" i="3"/>
  <c r="AP4" i="3" s="1"/>
  <c r="AS16" i="2"/>
  <c r="BC9" i="2"/>
  <c r="AO10" i="4"/>
  <c r="AY58" i="3" l="1"/>
  <c r="AZ53" i="3"/>
  <c r="AZ54" i="3" a="1"/>
  <c r="AZ54" i="3" s="1"/>
  <c r="AZ55" i="3" s="1"/>
  <c r="AY57" i="3"/>
  <c r="AZ56" i="3"/>
  <c r="AZ59" i="3"/>
  <c r="BC92" i="3"/>
  <c r="BC93" i="3" s="1"/>
  <c r="BB73" i="3"/>
  <c r="BB76" i="3" s="1"/>
  <c r="BI119" i="3"/>
  <c r="BI120" i="3" s="1"/>
  <c r="BH121" i="3"/>
  <c r="BB75" i="3"/>
  <c r="AQ9" i="3" a="1"/>
  <c r="AQ9" i="3" s="1"/>
  <c r="AQ8" i="3"/>
  <c r="AQ11" i="3"/>
  <c r="Y24" i="2"/>
  <c r="Z18" i="2"/>
  <c r="Y7" i="4"/>
  <c r="Y8" i="4"/>
  <c r="Y23" i="6" s="1"/>
  <c r="AS16" i="6"/>
  <c r="AS13" i="4"/>
  <c r="AU40" i="3"/>
  <c r="AV33" i="3"/>
  <c r="AV38" i="3" s="1"/>
  <c r="AW45" i="3" a="1"/>
  <c r="AW45" i="3" s="1"/>
  <c r="AW44" i="3"/>
  <c r="BD89" i="3"/>
  <c r="BD90" i="3" a="1"/>
  <c r="BD90" i="3" s="1"/>
  <c r="BD87" i="3"/>
  <c r="AV35" i="3"/>
  <c r="AV37" i="3" s="1"/>
  <c r="AW34" i="3" s="1"/>
  <c r="AW33" i="3" s="1"/>
  <c r="AW41" i="3" s="1"/>
  <c r="BI118" i="3"/>
  <c r="AP12" i="3"/>
  <c r="AP2" i="3" s="1"/>
  <c r="AP5" i="3"/>
  <c r="BH96" i="3"/>
  <c r="BH101" i="3" s="1"/>
  <c r="BH98" i="3"/>
  <c r="BH99" i="3" a="1"/>
  <c r="BH99" i="3" s="1"/>
  <c r="AT31" i="3"/>
  <c r="AU24" i="3"/>
  <c r="AU27" i="3" a="1"/>
  <c r="AU27" i="3" s="1"/>
  <c r="AU26" i="3"/>
  <c r="BF82" i="3"/>
  <c r="AT16" i="3"/>
  <c r="AS22" i="3"/>
  <c r="BF86" i="3"/>
  <c r="BF84" i="3"/>
  <c r="BA62" i="3"/>
  <c r="BA60" i="3"/>
  <c r="BA65" i="3" s="1"/>
  <c r="BA63" i="3" a="1"/>
  <c r="BA63" i="3" s="1"/>
  <c r="BI108" i="3" a="1"/>
  <c r="BI108" i="3" s="1"/>
  <c r="BI107" i="3"/>
  <c r="BI105" i="3"/>
  <c r="BI110" i="3" s="1"/>
  <c r="AW50" i="3"/>
  <c r="BK138" i="3"/>
  <c r="AP13" i="3"/>
  <c r="AP3" i="3" s="1"/>
  <c r="AW22" i="2" s="1"/>
  <c r="AW14" i="6" s="1"/>
  <c r="BD9" i="2"/>
  <c r="AZ57" i="3" l="1"/>
  <c r="Y19" i="4"/>
  <c r="Y20" i="4" s="1"/>
  <c r="Y7" i="5"/>
  <c r="BC70" i="3"/>
  <c r="BC69" i="3" s="1"/>
  <c r="BC74" i="3" s="1"/>
  <c r="BC94" i="3"/>
  <c r="AZ58" i="3"/>
  <c r="BA52" i="3"/>
  <c r="BI121" i="3"/>
  <c r="AQ10" i="3"/>
  <c r="AR7" i="3" s="1"/>
  <c r="AR8" i="3" s="1"/>
  <c r="AV41" i="3"/>
  <c r="BJ115" i="3"/>
  <c r="BJ114" i="3" s="1"/>
  <c r="BJ119" i="3" s="1"/>
  <c r="Y25" i="2"/>
  <c r="Y9" i="4"/>
  <c r="Y22" i="6"/>
  <c r="Z20" i="2"/>
  <c r="Z15" i="4" s="1"/>
  <c r="AW46" i="3"/>
  <c r="AW49" i="3" s="1"/>
  <c r="BD95" i="3"/>
  <c r="BD92" i="3"/>
  <c r="BD93" i="3" s="1"/>
  <c r="BD91" i="3"/>
  <c r="AU32" i="3"/>
  <c r="AU29" i="3"/>
  <c r="AU30" i="3" s="1"/>
  <c r="AW38" i="3"/>
  <c r="AV39" i="3"/>
  <c r="AW36" i="3" a="1"/>
  <c r="AW36" i="3" s="1"/>
  <c r="AW35" i="3"/>
  <c r="AV40" i="3"/>
  <c r="AU28" i="3"/>
  <c r="AV25" i="3" s="1"/>
  <c r="AV27" i="3" s="1" a="1"/>
  <c r="AV27" i="3" s="1"/>
  <c r="AQ12" i="3"/>
  <c r="AQ2" i="3" s="1"/>
  <c r="AQ5" i="3"/>
  <c r="BH100" i="3"/>
  <c r="BH104" i="3"/>
  <c r="AT18" i="3" a="1"/>
  <c r="AT18" i="3" s="1"/>
  <c r="AT17" i="3"/>
  <c r="AT15" i="3"/>
  <c r="AT20" i="3" s="1"/>
  <c r="BF85" i="3"/>
  <c r="BG79" i="3"/>
  <c r="BA68" i="3"/>
  <c r="BA66" i="3"/>
  <c r="BA64" i="3"/>
  <c r="BI113" i="3"/>
  <c r="BI111" i="3"/>
  <c r="AW48" i="3"/>
  <c r="BI109" i="3"/>
  <c r="AT14" i="2"/>
  <c r="G14" i="6"/>
  <c r="BE9" i="2"/>
  <c r="BC72" i="3" l="1" a="1"/>
  <c r="BC72" i="3" s="1"/>
  <c r="BC71" i="3"/>
  <c r="BA54" i="3" a="1"/>
  <c r="BA54" i="3" s="1"/>
  <c r="BA51" i="3"/>
  <c r="BA53" i="3"/>
  <c r="AQ13" i="3"/>
  <c r="AQ3" i="3" s="1"/>
  <c r="AX22" i="2" s="1"/>
  <c r="AX14" i="6" s="1"/>
  <c r="AR6" i="3"/>
  <c r="AR14" i="3" s="1"/>
  <c r="AR4" i="3" s="1"/>
  <c r="AR9" i="3" a="1"/>
  <c r="AR9" i="3" s="1"/>
  <c r="AR10" i="3" s="1"/>
  <c r="AS7" i="3" s="1"/>
  <c r="BJ116" i="3"/>
  <c r="BJ117" i="3" a="1"/>
  <c r="BJ117" i="3" s="1"/>
  <c r="BJ120" i="3" s="1"/>
  <c r="AX43" i="3"/>
  <c r="AX42" i="3" s="1"/>
  <c r="AX47" i="3" s="1"/>
  <c r="Y8" i="5"/>
  <c r="Y8" i="7"/>
  <c r="Z23" i="2"/>
  <c r="Z6" i="5" s="1"/>
  <c r="AV26" i="3"/>
  <c r="AV28" i="3" s="1"/>
  <c r="AW25" i="3" s="1"/>
  <c r="AW26" i="3" s="1"/>
  <c r="AW39" i="3"/>
  <c r="BD94" i="3"/>
  <c r="BE88" i="3"/>
  <c r="AV24" i="3"/>
  <c r="AV32" i="3" s="1"/>
  <c r="AW37" i="3"/>
  <c r="AU31" i="3"/>
  <c r="AT19" i="3"/>
  <c r="AU16" i="3" s="1"/>
  <c r="BH103" i="3"/>
  <c r="BI97" i="3"/>
  <c r="BH102" i="3"/>
  <c r="BC77" i="3"/>
  <c r="BC75" i="3"/>
  <c r="BC73" i="3"/>
  <c r="BJ122" i="3"/>
  <c r="BJ106" i="3"/>
  <c r="BI112" i="3"/>
  <c r="BA67" i="3"/>
  <c r="BB61" i="3"/>
  <c r="BG81" i="3" a="1"/>
  <c r="BG81" i="3" s="1"/>
  <c r="BG78" i="3"/>
  <c r="BG83" i="3" s="1"/>
  <c r="BG80" i="3"/>
  <c r="AT23" i="3"/>
  <c r="G14" i="2"/>
  <c r="AT15" i="2"/>
  <c r="BF9" i="2"/>
  <c r="AP11" i="2"/>
  <c r="AP17" i="6" s="1"/>
  <c r="BA55" i="3" l="1"/>
  <c r="BB52" i="3" s="1"/>
  <c r="BB53" i="3" s="1"/>
  <c r="BA56" i="3"/>
  <c r="BA59" i="3"/>
  <c r="AX45" i="3" a="1"/>
  <c r="AX45" i="3" s="1"/>
  <c r="AR11" i="3"/>
  <c r="AR13" i="3" s="1"/>
  <c r="AR3" i="3" s="1"/>
  <c r="AY22" i="2" s="1"/>
  <c r="AY14" i="6" s="1"/>
  <c r="AX44" i="3"/>
  <c r="BJ118" i="3"/>
  <c r="BJ121" i="3" s="1"/>
  <c r="Z7" i="4"/>
  <c r="Z8" i="4"/>
  <c r="Z23" i="6" s="1"/>
  <c r="AA18" i="2"/>
  <c r="Z24" i="2"/>
  <c r="AT15" i="6"/>
  <c r="G15" i="6" s="1"/>
  <c r="AT21" i="2"/>
  <c r="AV29" i="3"/>
  <c r="AV30" i="3" s="1"/>
  <c r="BE87" i="3"/>
  <c r="BE90" i="3" a="1"/>
  <c r="BE90" i="3" s="1"/>
  <c r="BE89" i="3"/>
  <c r="BG82" i="3"/>
  <c r="BH79" i="3" s="1"/>
  <c r="BH78" i="3" s="1"/>
  <c r="BH86" i="3" s="1"/>
  <c r="AX34" i="3"/>
  <c r="AW40" i="3"/>
  <c r="AW27" i="3" a="1"/>
  <c r="AW27" i="3" s="1"/>
  <c r="AW28" i="3" s="1"/>
  <c r="AW24" i="3"/>
  <c r="AW32" i="3" s="1"/>
  <c r="BI99" i="3" a="1"/>
  <c r="BI99" i="3" s="1"/>
  <c r="BI98" i="3"/>
  <c r="BI96" i="3"/>
  <c r="BI101" i="3" s="1"/>
  <c r="BB60" i="3"/>
  <c r="BB65" i="3" s="1"/>
  <c r="BB62" i="3"/>
  <c r="BB63" i="3" a="1"/>
  <c r="BB63" i="3" s="1"/>
  <c r="AT21" i="3"/>
  <c r="AX50" i="3"/>
  <c r="AT22" i="3"/>
  <c r="BG86" i="3"/>
  <c r="BJ107" i="3"/>
  <c r="BJ105" i="3"/>
  <c r="BJ110" i="3" s="1"/>
  <c r="BJ108" i="3" a="1"/>
  <c r="BJ108" i="3" s="1"/>
  <c r="BD70" i="3"/>
  <c r="BC76" i="3"/>
  <c r="AU17" i="3"/>
  <c r="AU15" i="3"/>
  <c r="AU18" i="3" a="1"/>
  <c r="AU18" i="3" s="1"/>
  <c r="AS9" i="3" a="1"/>
  <c r="AS9" i="3" s="1"/>
  <c r="AS6" i="3"/>
  <c r="AS8" i="3"/>
  <c r="AT16" i="2"/>
  <c r="AT13" i="4" s="1"/>
  <c r="G13" i="4" s="1"/>
  <c r="G15" i="2"/>
  <c r="AU14" i="2"/>
  <c r="AU15" i="2" s="1"/>
  <c r="H9" i="2"/>
  <c r="BG9" i="2"/>
  <c r="AP10" i="4"/>
  <c r="AQ11" i="2"/>
  <c r="AQ17" i="6" s="1"/>
  <c r="BA58" i="3" l="1"/>
  <c r="Z19" i="4"/>
  <c r="Z20" i="4" s="1"/>
  <c r="Z7" i="5"/>
  <c r="BK115" i="3"/>
  <c r="BK117" i="3" s="1" a="1"/>
  <c r="BK117" i="3" s="1"/>
  <c r="BB54" i="3" a="1"/>
  <c r="BB54" i="3" s="1"/>
  <c r="BB51" i="3"/>
  <c r="BB56" i="3" s="1"/>
  <c r="AR5" i="3"/>
  <c r="AS11" i="3"/>
  <c r="AS5" i="3" s="1"/>
  <c r="AX46" i="3"/>
  <c r="AX49" i="3" s="1"/>
  <c r="AR12" i="3"/>
  <c r="AR2" i="3" s="1"/>
  <c r="AX48" i="3"/>
  <c r="BA57" i="3"/>
  <c r="BB55" i="3"/>
  <c r="Z25" i="2"/>
  <c r="AA20" i="2"/>
  <c r="AA15" i="4" s="1"/>
  <c r="Z22" i="6"/>
  <c r="Z9" i="4"/>
  <c r="AU15" i="6"/>
  <c r="AU21" i="2"/>
  <c r="G21" i="2"/>
  <c r="AV31" i="3"/>
  <c r="BE91" i="3"/>
  <c r="BF88" i="3" s="1"/>
  <c r="BH81" i="3" a="1"/>
  <c r="BH81" i="3" s="1"/>
  <c r="BH80" i="3"/>
  <c r="BE95" i="3"/>
  <c r="BE92" i="3"/>
  <c r="BH83" i="3"/>
  <c r="AU23" i="3"/>
  <c r="AU20" i="3"/>
  <c r="AU21" i="3" s="1"/>
  <c r="AW29" i="3"/>
  <c r="AW30" i="3" s="1"/>
  <c r="AX33" i="3"/>
  <c r="AX38" i="3" s="1"/>
  <c r="AX35" i="3"/>
  <c r="AX36" i="3" a="1"/>
  <c r="AX36" i="3" s="1"/>
  <c r="BI104" i="3"/>
  <c r="BI100" i="3"/>
  <c r="BD71" i="3"/>
  <c r="BD69" i="3"/>
  <c r="BD74" i="3" s="1"/>
  <c r="BD72" i="3" a="1"/>
  <c r="BD72" i="3" s="1"/>
  <c r="BJ113" i="3"/>
  <c r="AX25" i="3"/>
  <c r="AU19" i="3"/>
  <c r="BJ109" i="3"/>
  <c r="BG85" i="3"/>
  <c r="BB64" i="3"/>
  <c r="BG84" i="3"/>
  <c r="BB68" i="3"/>
  <c r="AS10" i="3"/>
  <c r="AT7" i="3" s="1"/>
  <c r="AT8" i="3" s="1"/>
  <c r="AS14" i="3"/>
  <c r="AS4" i="3" s="1"/>
  <c r="AU16" i="2"/>
  <c r="AT16" i="6"/>
  <c r="G16" i="2"/>
  <c r="G31" i="6"/>
  <c r="BH9" i="2"/>
  <c r="AQ10" i="4"/>
  <c r="BK114" i="3" l="1"/>
  <c r="BK119" i="3" s="1"/>
  <c r="BK116" i="3"/>
  <c r="AY43" i="3"/>
  <c r="AY45" i="3" s="1" a="1"/>
  <c r="AY45" i="3" s="1"/>
  <c r="BB59" i="3"/>
  <c r="BC52" i="3"/>
  <c r="BB58" i="3"/>
  <c r="BB57" i="3"/>
  <c r="Z8" i="5"/>
  <c r="Z8" i="7"/>
  <c r="AA23" i="2"/>
  <c r="AA6" i="5" s="1"/>
  <c r="AU16" i="6"/>
  <c r="AU13" i="4"/>
  <c r="BE94" i="3"/>
  <c r="BE93" i="3"/>
  <c r="BH82" i="3"/>
  <c r="BI79" i="3" s="1"/>
  <c r="BF90" i="3" a="1"/>
  <c r="BF90" i="3" s="1"/>
  <c r="BF89" i="3"/>
  <c r="BF87" i="3"/>
  <c r="BF95" i="3" s="1"/>
  <c r="AT6" i="3"/>
  <c r="AT11" i="3" s="1"/>
  <c r="AT9" i="3" a="1"/>
  <c r="AT9" i="3" s="1"/>
  <c r="AT10" i="3" s="1"/>
  <c r="BH84" i="3"/>
  <c r="AX37" i="3"/>
  <c r="AY34" i="3" s="1"/>
  <c r="AX41" i="3"/>
  <c r="AX39" i="3"/>
  <c r="AW31" i="3"/>
  <c r="BI103" i="3"/>
  <c r="BJ97" i="3"/>
  <c r="BI102" i="3"/>
  <c r="BB67" i="3"/>
  <c r="BC61" i="3"/>
  <c r="BB66" i="3"/>
  <c r="BJ112" i="3"/>
  <c r="BK106" i="3"/>
  <c r="BK122" i="3"/>
  <c r="BK120" i="3"/>
  <c r="AU22" i="3"/>
  <c r="AV16" i="3"/>
  <c r="BJ111" i="3"/>
  <c r="BD77" i="3"/>
  <c r="AX26" i="3"/>
  <c r="AX24" i="3"/>
  <c r="AX29" i="3" s="1"/>
  <c r="AX27" i="3" a="1"/>
  <c r="AX27" i="3" s="1"/>
  <c r="BD73" i="3"/>
  <c r="BK118" i="3"/>
  <c r="AS12" i="3"/>
  <c r="AS2" i="3" s="1"/>
  <c r="AS13" i="3"/>
  <c r="AS3" i="3" s="1"/>
  <c r="AZ22" i="2" s="1"/>
  <c r="AZ14" i="6" s="1"/>
  <c r="AV14" i="2"/>
  <c r="AV15" i="2" s="1"/>
  <c r="BI9" i="2"/>
  <c r="AY44" i="3" l="1"/>
  <c r="AY42" i="3"/>
  <c r="AY47" i="3" s="1"/>
  <c r="BC51" i="3"/>
  <c r="BC54" i="3" a="1"/>
  <c r="BC54" i="3" s="1"/>
  <c r="BC53" i="3"/>
  <c r="AA8" i="4"/>
  <c r="AA23" i="6" s="1"/>
  <c r="AA24" i="2"/>
  <c r="AA7" i="4"/>
  <c r="AB18" i="2"/>
  <c r="AV15" i="6"/>
  <c r="AV21" i="2"/>
  <c r="BH85" i="3"/>
  <c r="BF91" i="3"/>
  <c r="BG88" i="3" s="1"/>
  <c r="BG90" i="3" s="1" a="1"/>
  <c r="BG90" i="3" s="1"/>
  <c r="BF92" i="3"/>
  <c r="AT14" i="3"/>
  <c r="AT4" i="3" s="1"/>
  <c r="AT12" i="3"/>
  <c r="AT2" i="3" s="1"/>
  <c r="AY33" i="3"/>
  <c r="AY35" i="3"/>
  <c r="AY36" i="3" a="1"/>
  <c r="AY36" i="3" s="1"/>
  <c r="AX40" i="3"/>
  <c r="BJ99" i="3" a="1"/>
  <c r="BJ99" i="3" s="1"/>
  <c r="BJ96" i="3"/>
  <c r="BJ101" i="3" s="1"/>
  <c r="BJ98" i="3"/>
  <c r="BK121" i="3"/>
  <c r="AX28" i="3"/>
  <c r="AY25" i="3" s="1"/>
  <c r="AY50" i="3"/>
  <c r="BI81" i="3" a="1"/>
  <c r="BI81" i="3" s="1"/>
  <c r="BI80" i="3"/>
  <c r="BI78" i="3"/>
  <c r="BI83" i="3" s="1"/>
  <c r="BD76" i="3"/>
  <c r="BE70" i="3"/>
  <c r="BD75" i="3"/>
  <c r="AY46" i="3"/>
  <c r="BK108" i="3" a="1"/>
  <c r="BK108" i="3" s="1"/>
  <c r="BK105" i="3"/>
  <c r="BK110" i="3" s="1"/>
  <c r="BK107" i="3"/>
  <c r="BC62" i="3"/>
  <c r="BC60" i="3"/>
  <c r="BC65" i="3" s="1"/>
  <c r="BC63" i="3" a="1"/>
  <c r="BC63" i="3" s="1"/>
  <c r="AX32" i="3"/>
  <c r="AV17" i="3"/>
  <c r="AV15" i="3"/>
  <c r="AV20" i="3" s="1"/>
  <c r="AV18" i="3" a="1"/>
  <c r="AV18" i="3" s="1"/>
  <c r="AU7" i="3"/>
  <c r="AV16" i="2"/>
  <c r="BJ9" i="2"/>
  <c r="AA19" i="4" l="1"/>
  <c r="AA20" i="4" s="1"/>
  <c r="AA7" i="5"/>
  <c r="BC55" i="3"/>
  <c r="BD52" i="3" s="1"/>
  <c r="BC59" i="3"/>
  <c r="BC56" i="3"/>
  <c r="AA25" i="2"/>
  <c r="AB20" i="2"/>
  <c r="AB15" i="4" s="1"/>
  <c r="AA22" i="6"/>
  <c r="AA9" i="4"/>
  <c r="AV16" i="6"/>
  <c r="AV13" i="4"/>
  <c r="BF94" i="3"/>
  <c r="BG89" i="3"/>
  <c r="BG91" i="3" s="1"/>
  <c r="BH88" i="3" s="1"/>
  <c r="BH90" i="3" s="1" a="1"/>
  <c r="BH90" i="3" s="1"/>
  <c r="BG87" i="3"/>
  <c r="BG95" i="3" s="1"/>
  <c r="BF93" i="3"/>
  <c r="AT5" i="3"/>
  <c r="AT13" i="3"/>
  <c r="AT3" i="3" s="1"/>
  <c r="BA22" i="2" s="1"/>
  <c r="BA14" i="6" s="1"/>
  <c r="BK109" i="3"/>
  <c r="BJ100" i="3"/>
  <c r="BK97" i="3" s="1"/>
  <c r="BK98" i="3" s="1"/>
  <c r="AY41" i="3"/>
  <c r="AY38" i="3"/>
  <c r="AY39" i="3" s="1"/>
  <c r="AY37" i="3"/>
  <c r="BJ104" i="3"/>
  <c r="AV19" i="3"/>
  <c r="AW16" i="3" s="1"/>
  <c r="BC64" i="3"/>
  <c r="BD61" i="3" s="1"/>
  <c r="AV23" i="3"/>
  <c r="AV21" i="3"/>
  <c r="BC68" i="3"/>
  <c r="BC66" i="3"/>
  <c r="AY48" i="3"/>
  <c r="BE69" i="3"/>
  <c r="BE74" i="3" s="1"/>
  <c r="BE71" i="3"/>
  <c r="BE72" i="3" a="1"/>
  <c r="BE72" i="3" s="1"/>
  <c r="BK113" i="3"/>
  <c r="BK111" i="3"/>
  <c r="AX30" i="3"/>
  <c r="BI86" i="3"/>
  <c r="BI84" i="3"/>
  <c r="AY27" i="3" a="1"/>
  <c r="AY27" i="3" s="1"/>
  <c r="AY24" i="3"/>
  <c r="AY26" i="3"/>
  <c r="BI82" i="3"/>
  <c r="AY49" i="3"/>
  <c r="AZ43" i="3"/>
  <c r="AX31" i="3"/>
  <c r="AU9" i="3" a="1"/>
  <c r="AU9" i="3" s="1"/>
  <c r="AU6" i="3"/>
  <c r="AU11" i="3" s="1"/>
  <c r="AU8" i="3"/>
  <c r="BK9" i="2"/>
  <c r="BC57" i="3" l="1"/>
  <c r="BC58" i="3"/>
  <c r="BD54" i="3" a="1"/>
  <c r="BD54" i="3" s="1"/>
  <c r="BD53" i="3"/>
  <c r="BD51" i="3"/>
  <c r="BD59" i="3" s="1"/>
  <c r="BG92" i="3"/>
  <c r="BG93" i="3" s="1"/>
  <c r="AA8" i="5"/>
  <c r="AA8" i="7"/>
  <c r="AB23" i="2"/>
  <c r="AB6" i="5" s="1"/>
  <c r="BH89" i="3"/>
  <c r="BH91" i="3" s="1"/>
  <c r="BI88" i="3" s="1"/>
  <c r="BH87" i="3"/>
  <c r="BH95" i="3" s="1"/>
  <c r="BK96" i="3"/>
  <c r="BK104" i="3" s="1"/>
  <c r="BK99" i="3" a="1"/>
  <c r="BK99" i="3" s="1"/>
  <c r="BK100" i="3" s="1"/>
  <c r="AY32" i="3"/>
  <c r="AY29" i="3"/>
  <c r="AZ34" i="3"/>
  <c r="AY40" i="3"/>
  <c r="AV22" i="3"/>
  <c r="AU10" i="3"/>
  <c r="AV7" i="3" s="1"/>
  <c r="AV6" i="3" s="1"/>
  <c r="AV14" i="3" s="1"/>
  <c r="AV4" i="3" s="1"/>
  <c r="BJ102" i="3"/>
  <c r="BJ103" i="3"/>
  <c r="AY28" i="3"/>
  <c r="AZ25" i="3" s="1"/>
  <c r="BC67" i="3"/>
  <c r="BD63" i="3" a="1"/>
  <c r="BD63" i="3" s="1"/>
  <c r="BD62" i="3"/>
  <c r="BD60" i="3"/>
  <c r="AW17" i="3"/>
  <c r="AW15" i="3"/>
  <c r="AW18" i="3" a="1"/>
  <c r="AW18" i="3" s="1"/>
  <c r="BK112" i="3"/>
  <c r="BI85" i="3"/>
  <c r="BJ79" i="3"/>
  <c r="BE73" i="3"/>
  <c r="AZ45" i="3" a="1"/>
  <c r="AZ45" i="3" s="1"/>
  <c r="AZ44" i="3"/>
  <c r="AZ42" i="3"/>
  <c r="AZ47" i="3" s="1"/>
  <c r="BE77" i="3"/>
  <c r="BE75" i="3"/>
  <c r="AU14" i="3"/>
  <c r="AU4" i="3" s="1"/>
  <c r="AU5" i="3"/>
  <c r="AW14" i="2"/>
  <c r="AW15" i="2" s="1"/>
  <c r="BL9" i="2"/>
  <c r="BD55" i="3" l="1"/>
  <c r="BE52" i="3" s="1"/>
  <c r="BG94" i="3"/>
  <c r="BD56" i="3"/>
  <c r="BD57" i="3" s="1"/>
  <c r="AV8" i="3"/>
  <c r="AV9" i="3" a="1"/>
  <c r="AV9" i="3" s="1"/>
  <c r="AV11" i="3"/>
  <c r="AB24" i="2"/>
  <c r="AB7" i="4"/>
  <c r="AB8" i="4"/>
  <c r="AB23" i="6" s="1"/>
  <c r="AC18" i="2"/>
  <c r="AW15" i="6"/>
  <c r="AW21" i="2"/>
  <c r="BK101" i="3"/>
  <c r="BK102" i="3" s="1"/>
  <c r="BH92" i="3"/>
  <c r="BH93" i="3" s="1"/>
  <c r="BI89" i="3"/>
  <c r="BI87" i="3"/>
  <c r="BI95" i="3" s="1"/>
  <c r="BI90" i="3" a="1"/>
  <c r="BI90" i="3" s="1"/>
  <c r="BD68" i="3"/>
  <c r="BD65" i="3"/>
  <c r="BD66" i="3" s="1"/>
  <c r="AW23" i="3"/>
  <c r="AW20" i="3"/>
  <c r="AW21" i="3" s="1"/>
  <c r="AZ36" i="3" a="1"/>
  <c r="AZ36" i="3" s="1"/>
  <c r="AZ33" i="3"/>
  <c r="AZ38" i="3" s="1"/>
  <c r="AZ35" i="3"/>
  <c r="AW19" i="3"/>
  <c r="AX16" i="3" s="1"/>
  <c r="AZ46" i="3"/>
  <c r="BA43" i="3" s="1"/>
  <c r="BA44" i="3" s="1"/>
  <c r="BD64" i="3"/>
  <c r="BE61" i="3" s="1"/>
  <c r="BE62" i="3" s="1"/>
  <c r="BE76" i="3"/>
  <c r="BF70" i="3"/>
  <c r="AY31" i="3"/>
  <c r="AZ50" i="3"/>
  <c r="AZ26" i="3"/>
  <c r="AZ27" i="3" a="1"/>
  <c r="AZ27" i="3" s="1"/>
  <c r="AZ24" i="3"/>
  <c r="AZ32" i="3" s="1"/>
  <c r="BJ81" i="3" a="1"/>
  <c r="BJ81" i="3" s="1"/>
  <c r="BJ80" i="3"/>
  <c r="BJ78" i="3"/>
  <c r="BJ83" i="3" s="1"/>
  <c r="AY30" i="3"/>
  <c r="AU13" i="3"/>
  <c r="AU3" i="3" s="1"/>
  <c r="BB22" i="2" s="1"/>
  <c r="BB14" i="6" s="1"/>
  <c r="AU12" i="3"/>
  <c r="AU2" i="3" s="1"/>
  <c r="AW16" i="2"/>
  <c r="BM9" i="2"/>
  <c r="AB19" i="4" l="1"/>
  <c r="AB20" i="4" s="1"/>
  <c r="AB7" i="5"/>
  <c r="AV10" i="3"/>
  <c r="AV13" i="3" s="1"/>
  <c r="AV3" i="3" s="1"/>
  <c r="BC22" i="2" s="1"/>
  <c r="BC14" i="6" s="1"/>
  <c r="BD58" i="3"/>
  <c r="BE54" i="3" a="1"/>
  <c r="BE54" i="3" s="1"/>
  <c r="BE53" i="3"/>
  <c r="BE51" i="3"/>
  <c r="BE59" i="3" s="1"/>
  <c r="AV12" i="3"/>
  <c r="AV2" i="3" s="1"/>
  <c r="BK103" i="3"/>
  <c r="BH94" i="3"/>
  <c r="AB25" i="2"/>
  <c r="AC20" i="2"/>
  <c r="AC15" i="4" s="1"/>
  <c r="AB22" i="6"/>
  <c r="AB9" i="4"/>
  <c r="AV5" i="3"/>
  <c r="AW16" i="6"/>
  <c r="AW13" i="4"/>
  <c r="BI91" i="3"/>
  <c r="BJ88" i="3" s="1"/>
  <c r="BI92" i="3"/>
  <c r="BI93" i="3" s="1"/>
  <c r="AZ37" i="3"/>
  <c r="BA34" i="3" s="1"/>
  <c r="BA35" i="3" s="1"/>
  <c r="AW22" i="3"/>
  <c r="AZ29" i="3"/>
  <c r="AZ30" i="3" s="1"/>
  <c r="AZ41" i="3"/>
  <c r="AZ39" i="3"/>
  <c r="BA42" i="3"/>
  <c r="AZ48" i="3"/>
  <c r="BD67" i="3"/>
  <c r="BE63" i="3" a="1"/>
  <c r="BE63" i="3" s="1"/>
  <c r="BE64" i="3" s="1"/>
  <c r="BF61" i="3" s="1"/>
  <c r="BE60" i="3"/>
  <c r="BE68" i="3" s="1"/>
  <c r="BA45" i="3" a="1"/>
  <c r="BA45" i="3" s="1"/>
  <c r="BA46" i="3" s="1"/>
  <c r="AZ49" i="3"/>
  <c r="AX15" i="3"/>
  <c r="AX20" i="3" s="1"/>
  <c r="AX17" i="3"/>
  <c r="AX18" i="3" a="1"/>
  <c r="AX18" i="3" s="1"/>
  <c r="AZ28" i="3"/>
  <c r="BF72" i="3" a="1"/>
  <c r="BF72" i="3" s="1"/>
  <c r="BF71" i="3"/>
  <c r="BF69" i="3"/>
  <c r="BF74" i="3" s="1"/>
  <c r="BJ86" i="3"/>
  <c r="BJ82" i="3"/>
  <c r="BJ84" i="3"/>
  <c r="AX14" i="2"/>
  <c r="AX15" i="2" s="1"/>
  <c r="BN9" i="2"/>
  <c r="AW7" i="3" l="1"/>
  <c r="BE55" i="3"/>
  <c r="BF52" i="3" s="1"/>
  <c r="BF51" i="3" s="1"/>
  <c r="BF59" i="3" s="1"/>
  <c r="BE56" i="3"/>
  <c r="AB8" i="5"/>
  <c r="AB8" i="7"/>
  <c r="AC23" i="2"/>
  <c r="AC6" i="5" s="1"/>
  <c r="AX15" i="6"/>
  <c r="AX21" i="2"/>
  <c r="BI94" i="3"/>
  <c r="BJ90" i="3" a="1"/>
  <c r="BJ90" i="3" s="1"/>
  <c r="BJ87" i="3"/>
  <c r="BJ95" i="3" s="1"/>
  <c r="BJ89" i="3"/>
  <c r="BA36" i="3" a="1"/>
  <c r="BA36" i="3" s="1"/>
  <c r="BA37" i="3" s="1"/>
  <c r="BF73" i="3"/>
  <c r="BG70" i="3" s="1"/>
  <c r="BE65" i="3"/>
  <c r="BE66" i="3" s="1"/>
  <c r="BA33" i="3"/>
  <c r="BA38" i="3" s="1"/>
  <c r="BA50" i="3"/>
  <c r="BA47" i="3"/>
  <c r="BA48" i="3" s="1"/>
  <c r="AZ40" i="3"/>
  <c r="AZ31" i="3"/>
  <c r="BA25" i="3"/>
  <c r="BB43" i="3"/>
  <c r="BJ85" i="3"/>
  <c r="BK79" i="3"/>
  <c r="AX19" i="3"/>
  <c r="BF62" i="3"/>
  <c r="BF63" i="3" a="1"/>
  <c r="BF63" i="3" s="1"/>
  <c r="BF60" i="3"/>
  <c r="BF77" i="3"/>
  <c r="BF75" i="3"/>
  <c r="AX23" i="3"/>
  <c r="AX21" i="3"/>
  <c r="AW8" i="3"/>
  <c r="AW6" i="3"/>
  <c r="AW11" i="3" s="1"/>
  <c r="AW9" i="3" a="1"/>
  <c r="AW9" i="3" s="1"/>
  <c r="AX16" i="2"/>
  <c r="BO9" i="2"/>
  <c r="BF53" i="3" l="1"/>
  <c r="BF54" i="3" a="1"/>
  <c r="BF54" i="3" s="1"/>
  <c r="BF55" i="3" s="1"/>
  <c r="BE57" i="3"/>
  <c r="BF56" i="3"/>
  <c r="BE58" i="3"/>
  <c r="AC8" i="4"/>
  <c r="AC7" i="4"/>
  <c r="AD18" i="2"/>
  <c r="AC24" i="2"/>
  <c r="AX16" i="6"/>
  <c r="AX13" i="4"/>
  <c r="BJ91" i="3"/>
  <c r="BK88" i="3" s="1"/>
  <c r="BK87" i="3" s="1"/>
  <c r="BE67" i="3"/>
  <c r="BJ92" i="3"/>
  <c r="BJ93" i="3" s="1"/>
  <c r="BF65" i="3"/>
  <c r="BA41" i="3"/>
  <c r="BA49" i="3"/>
  <c r="BA40" i="3"/>
  <c r="BB34" i="3"/>
  <c r="BA39" i="3"/>
  <c r="BF68" i="3"/>
  <c r="BB44" i="3"/>
  <c r="BB42" i="3"/>
  <c r="BB47" i="3" s="1"/>
  <c r="BB45" i="3" a="1"/>
  <c r="BB45" i="3" s="1"/>
  <c r="BG69" i="3"/>
  <c r="BG71" i="3"/>
  <c r="BG72" i="3" a="1"/>
  <c r="BG72" i="3" s="1"/>
  <c r="BF64" i="3"/>
  <c r="AX22" i="3"/>
  <c r="AY16" i="3"/>
  <c r="BK80" i="3"/>
  <c r="BK81" i="3" a="1"/>
  <c r="BK81" i="3" s="1"/>
  <c r="BK78" i="3"/>
  <c r="BK83" i="3" s="1"/>
  <c r="BA24" i="3"/>
  <c r="BA29" i="3" s="1"/>
  <c r="BA26" i="3"/>
  <c r="BA27" i="3" a="1"/>
  <c r="BA27" i="3" s="1"/>
  <c r="BF76" i="3"/>
  <c r="AW14" i="3"/>
  <c r="AW4" i="3" s="1"/>
  <c r="AW5" i="3"/>
  <c r="AW10" i="3"/>
  <c r="AY14" i="2"/>
  <c r="AY15" i="2" s="1"/>
  <c r="BP9" i="2"/>
  <c r="AR11" i="2"/>
  <c r="AR17" i="6" s="1"/>
  <c r="AC19" i="4" l="1"/>
  <c r="AC20" i="4" s="1"/>
  <c r="AC7" i="5"/>
  <c r="BG52" i="3"/>
  <c r="BF58" i="3"/>
  <c r="BF57" i="3"/>
  <c r="AC25" i="2"/>
  <c r="AD20" i="2"/>
  <c r="AD15" i="4" s="1"/>
  <c r="AC22" i="6"/>
  <c r="AC9" i="4"/>
  <c r="AC23" i="6"/>
  <c r="AY15" i="6"/>
  <c r="AY21" i="2"/>
  <c r="BK90" i="3" a="1"/>
  <c r="BK90" i="3" s="1"/>
  <c r="BK89" i="3"/>
  <c r="BJ94" i="3"/>
  <c r="BK95" i="3"/>
  <c r="BK92" i="3"/>
  <c r="BG77" i="3"/>
  <c r="BG74" i="3"/>
  <c r="BG73" i="3"/>
  <c r="BH70" i="3" s="1"/>
  <c r="BH72" i="3" s="1" a="1"/>
  <c r="BH72" i="3" s="1"/>
  <c r="BB33" i="3"/>
  <c r="BB38" i="3" s="1"/>
  <c r="BB36" i="3" a="1"/>
  <c r="BB36" i="3" s="1"/>
  <c r="BB35" i="3"/>
  <c r="BB50" i="3"/>
  <c r="BB46" i="3"/>
  <c r="BA28" i="3"/>
  <c r="AY17" i="3"/>
  <c r="AY18" i="3" a="1"/>
  <c r="AY18" i="3" s="1"/>
  <c r="AY15" i="3"/>
  <c r="AY20" i="3" s="1"/>
  <c r="BK86" i="3"/>
  <c r="BK84" i="3"/>
  <c r="BF67" i="3"/>
  <c r="BG61" i="3"/>
  <c r="BA32" i="3"/>
  <c r="BA30" i="3"/>
  <c r="BF66" i="3"/>
  <c r="BK82" i="3"/>
  <c r="AW13" i="3"/>
  <c r="AW3" i="3" s="1"/>
  <c r="BD22" i="2" s="1"/>
  <c r="BD14" i="6" s="1"/>
  <c r="AX7" i="3"/>
  <c r="AW12" i="3"/>
  <c r="AW2" i="3" s="1"/>
  <c r="AY16" i="2"/>
  <c r="BQ9" i="2"/>
  <c r="AR10" i="4"/>
  <c r="BK91" i="3" l="1"/>
  <c r="BG54" i="3" a="1"/>
  <c r="BG54" i="3" s="1"/>
  <c r="BG53" i="3"/>
  <c r="BG51" i="3"/>
  <c r="AC8" i="5"/>
  <c r="AC8" i="7"/>
  <c r="AD23" i="2"/>
  <c r="AD6" i="5" s="1"/>
  <c r="BK93" i="3"/>
  <c r="AY16" i="6"/>
  <c r="AY13" i="4"/>
  <c r="BH71" i="3"/>
  <c r="BH73" i="3" s="1"/>
  <c r="BH69" i="3"/>
  <c r="BH77" i="3" s="1"/>
  <c r="BK94" i="3"/>
  <c r="BB37" i="3"/>
  <c r="BB41" i="3"/>
  <c r="BG76" i="3"/>
  <c r="BA31" i="3"/>
  <c r="BB25" i="3"/>
  <c r="BB48" i="3"/>
  <c r="BB49" i="3"/>
  <c r="BC43" i="3"/>
  <c r="AY19" i="3"/>
  <c r="BG60" i="3"/>
  <c r="BG65" i="3" s="1"/>
  <c r="BG62" i="3"/>
  <c r="BG63" i="3" a="1"/>
  <c r="BG63" i="3" s="1"/>
  <c r="BG75" i="3"/>
  <c r="BK85" i="3"/>
  <c r="AY23" i="3"/>
  <c r="AX8" i="3"/>
  <c r="AX6" i="3"/>
  <c r="AX11" i="3" s="1"/>
  <c r="AX9" i="3" a="1"/>
  <c r="AX9" i="3" s="1"/>
  <c r="BR9" i="2"/>
  <c r="BG59" i="3" l="1"/>
  <c r="BG56" i="3"/>
  <c r="BG57" i="3" s="1"/>
  <c r="BG55" i="3"/>
  <c r="BH74" i="3"/>
  <c r="BH75" i="3" s="1"/>
  <c r="AE18" i="2"/>
  <c r="AD24" i="2"/>
  <c r="AD8" i="4"/>
  <c r="AD7" i="4"/>
  <c r="BB39" i="3"/>
  <c r="BB40" i="3"/>
  <c r="BC34" i="3"/>
  <c r="BG64" i="3"/>
  <c r="BH61" i="3" s="1"/>
  <c r="BB24" i="3"/>
  <c r="BB29" i="3" s="1"/>
  <c r="BB27" i="3" a="1"/>
  <c r="BB27" i="3" s="1"/>
  <c r="BB26" i="3"/>
  <c r="AZ16" i="3"/>
  <c r="AY22" i="3"/>
  <c r="BG68" i="3"/>
  <c r="BG66" i="3"/>
  <c r="BC42" i="3"/>
  <c r="BC47" i="3" s="1"/>
  <c r="BC45" i="3" a="1"/>
  <c r="BC45" i="3" s="1"/>
  <c r="BC44" i="3"/>
  <c r="AY21" i="3"/>
  <c r="BI70" i="3"/>
  <c r="AX14" i="3"/>
  <c r="AX4" i="3" s="1"/>
  <c r="AX10" i="3"/>
  <c r="AZ14" i="2"/>
  <c r="AZ15" i="2" s="1"/>
  <c r="I9" i="2"/>
  <c r="AD19" i="4" l="1"/>
  <c r="AD20" i="4" s="1"/>
  <c r="AD7" i="5"/>
  <c r="BH76" i="3"/>
  <c r="BG58" i="3"/>
  <c r="BH52" i="3"/>
  <c r="AD25" i="2"/>
  <c r="AD8" i="5" s="1"/>
  <c r="AD23" i="6"/>
  <c r="AD9" i="4"/>
  <c r="AD22" i="6"/>
  <c r="AE20" i="2"/>
  <c r="AE15" i="4" s="1"/>
  <c r="AZ15" i="6"/>
  <c r="AZ21" i="2"/>
  <c r="AX12" i="3"/>
  <c r="AX2" i="3" s="1"/>
  <c r="AX5" i="3"/>
  <c r="BB28" i="3"/>
  <c r="BC25" i="3" s="1"/>
  <c r="BC33" i="3"/>
  <c r="BC38" i="3" s="1"/>
  <c r="BC35" i="3"/>
  <c r="BC36" i="3" a="1"/>
  <c r="BC36" i="3" s="1"/>
  <c r="BH63" i="3" a="1"/>
  <c r="BH63" i="3" s="1"/>
  <c r="BH62" i="3"/>
  <c r="BH60" i="3"/>
  <c r="AZ18" i="3" a="1"/>
  <c r="AZ18" i="3" s="1"/>
  <c r="AZ17" i="3"/>
  <c r="AZ15" i="3"/>
  <c r="AZ20" i="3" s="1"/>
  <c r="BC46" i="3"/>
  <c r="BC50" i="3"/>
  <c r="BC48" i="3"/>
  <c r="BB32" i="3"/>
  <c r="BB30" i="3"/>
  <c r="BI69" i="3"/>
  <c r="BI74" i="3" s="1"/>
  <c r="BI72" i="3" a="1"/>
  <c r="BI72" i="3" s="1"/>
  <c r="BI71" i="3"/>
  <c r="BG67" i="3"/>
  <c r="AX13" i="3"/>
  <c r="AX3" i="3" s="1"/>
  <c r="BE22" i="2" s="1"/>
  <c r="BE14" i="6" s="1"/>
  <c r="AY7" i="3"/>
  <c r="AZ16" i="2"/>
  <c r="BH51" i="3" l="1"/>
  <c r="BH54" i="3" a="1"/>
  <c r="BH54" i="3" s="1"/>
  <c r="BH53" i="3"/>
  <c r="AD8" i="7"/>
  <c r="AE23" i="2"/>
  <c r="AE6" i="5" s="1"/>
  <c r="AZ16" i="6"/>
  <c r="AZ13" i="4"/>
  <c r="BH68" i="3"/>
  <c r="BH65" i="3"/>
  <c r="BH64" i="3"/>
  <c r="BI61" i="3" s="1"/>
  <c r="BI60" i="3" s="1"/>
  <c r="BI68" i="3" s="1"/>
  <c r="BI73" i="3"/>
  <c r="BJ70" i="3" s="1"/>
  <c r="BC37" i="3"/>
  <c r="BC41" i="3"/>
  <c r="AZ19" i="3"/>
  <c r="BA16" i="3" s="1"/>
  <c r="BA17" i="3" s="1"/>
  <c r="BB31" i="3"/>
  <c r="AZ23" i="3"/>
  <c r="AZ21" i="3"/>
  <c r="BI77" i="3"/>
  <c r="BI75" i="3"/>
  <c r="BC26" i="3"/>
  <c r="BC27" i="3" a="1"/>
  <c r="BC27" i="3" s="1"/>
  <c r="BC24" i="3"/>
  <c r="BC49" i="3"/>
  <c r="BD43" i="3"/>
  <c r="AY9" i="3" a="1"/>
  <c r="AY9" i="3" s="1"/>
  <c r="AY6" i="3"/>
  <c r="AY11" i="3" s="1"/>
  <c r="AY8" i="3"/>
  <c r="BH55" i="3" l="1"/>
  <c r="BI52" i="3" s="1"/>
  <c r="BI54" i="3" s="1" a="1"/>
  <c r="BI54" i="3" s="1"/>
  <c r="BH56" i="3"/>
  <c r="BH59" i="3"/>
  <c r="AE8" i="4"/>
  <c r="AE24" i="2"/>
  <c r="AE7" i="4"/>
  <c r="AF18" i="2"/>
  <c r="BI65" i="3"/>
  <c r="BH67" i="3"/>
  <c r="BH66" i="3"/>
  <c r="BI62" i="3"/>
  <c r="BI63" i="3" a="1"/>
  <c r="BI63" i="3" s="1"/>
  <c r="BC32" i="3"/>
  <c r="BC29" i="3"/>
  <c r="BA18" i="3" a="1"/>
  <c r="BA18" i="3" s="1"/>
  <c r="BA19" i="3" s="1"/>
  <c r="BB16" i="3" s="1"/>
  <c r="AZ22" i="3"/>
  <c r="BA15" i="3"/>
  <c r="BC40" i="3"/>
  <c r="BD34" i="3"/>
  <c r="BC39" i="3"/>
  <c r="BI76" i="3"/>
  <c r="BC28" i="3"/>
  <c r="BD45" i="3" a="1"/>
  <c r="BD45" i="3" s="1"/>
  <c r="BD44" i="3"/>
  <c r="BD42" i="3"/>
  <c r="BD47" i="3" s="1"/>
  <c r="BJ71" i="3"/>
  <c r="BJ72" i="3" a="1"/>
  <c r="BJ72" i="3" s="1"/>
  <c r="BJ69" i="3"/>
  <c r="AY10" i="3"/>
  <c r="AY14" i="3"/>
  <c r="AY4" i="3" s="1"/>
  <c r="BA14" i="2"/>
  <c r="BA15" i="2" s="1"/>
  <c r="BH58" i="3" l="1"/>
  <c r="AE19" i="4"/>
  <c r="AE20" i="4" s="1"/>
  <c r="AE7" i="5"/>
  <c r="BI53" i="3"/>
  <c r="BI55" i="3" s="1"/>
  <c r="BJ52" i="3" s="1"/>
  <c r="BI51" i="3"/>
  <c r="BI59" i="3" s="1"/>
  <c r="BH57" i="3"/>
  <c r="BI56" i="3"/>
  <c r="BI66" i="3"/>
  <c r="AE25" i="2"/>
  <c r="AE23" i="6"/>
  <c r="AF20" i="2"/>
  <c r="AF15" i="4" s="1"/>
  <c r="AE22" i="6"/>
  <c r="AE9" i="4"/>
  <c r="BA15" i="6"/>
  <c r="BA21" i="2"/>
  <c r="BI64" i="3"/>
  <c r="BJ61" i="3" s="1"/>
  <c r="BJ77" i="3"/>
  <c r="BJ74" i="3"/>
  <c r="BJ75" i="3" s="1"/>
  <c r="BA23" i="3"/>
  <c r="BA20" i="3"/>
  <c r="BA22" i="3" s="1"/>
  <c r="AY12" i="3"/>
  <c r="AY2" i="3" s="1"/>
  <c r="AY5" i="3"/>
  <c r="BB18" i="3" a="1"/>
  <c r="BB18" i="3" s="1"/>
  <c r="BB15" i="3"/>
  <c r="BB23" i="3" s="1"/>
  <c r="BB17" i="3"/>
  <c r="BD36" i="3" a="1"/>
  <c r="BD36" i="3" s="1"/>
  <c r="BD35" i="3"/>
  <c r="BD33" i="3"/>
  <c r="BD38" i="3" s="1"/>
  <c r="BJ73" i="3"/>
  <c r="BD25" i="3"/>
  <c r="BC31" i="3"/>
  <c r="BC30" i="3"/>
  <c r="BD50" i="3"/>
  <c r="BD46" i="3"/>
  <c r="AY13" i="3"/>
  <c r="AY3" i="3" s="1"/>
  <c r="AZ7" i="3"/>
  <c r="BA16" i="2"/>
  <c r="BJ54" i="3" l="1" a="1"/>
  <c r="BJ54" i="3" s="1"/>
  <c r="BJ51" i="3"/>
  <c r="BI58" i="3"/>
  <c r="BJ53" i="3"/>
  <c r="BI57" i="3"/>
  <c r="BJ56" i="3"/>
  <c r="BJ57" i="3" s="1"/>
  <c r="BJ59" i="3"/>
  <c r="BJ55" i="3"/>
  <c r="BA21" i="3"/>
  <c r="AE8" i="5"/>
  <c r="AE8" i="7"/>
  <c r="AF23" i="2"/>
  <c r="AF6" i="5" s="1"/>
  <c r="BA16" i="6"/>
  <c r="BA13" i="4"/>
  <c r="BI67" i="3"/>
  <c r="BF22" i="2"/>
  <c r="BB20" i="3"/>
  <c r="BB21" i="3" s="1"/>
  <c r="BB19" i="3"/>
  <c r="BD37" i="3"/>
  <c r="BE34" i="3" s="1"/>
  <c r="BE35" i="3" s="1"/>
  <c r="BD41" i="3"/>
  <c r="BD49" i="3"/>
  <c r="BE43" i="3"/>
  <c r="BD27" i="3" a="1"/>
  <c r="BD27" i="3" s="1"/>
  <c r="BD24" i="3"/>
  <c r="BD29" i="3" s="1"/>
  <c r="BD26" i="3"/>
  <c r="BJ62" i="3"/>
  <c r="BJ60" i="3"/>
  <c r="BJ65" i="3" s="1"/>
  <c r="BJ63" i="3" a="1"/>
  <c r="BJ63" i="3" s="1"/>
  <c r="BJ76" i="3"/>
  <c r="BK70" i="3"/>
  <c r="BD48" i="3"/>
  <c r="AZ9" i="3" a="1"/>
  <c r="AZ9" i="3" s="1"/>
  <c r="AZ6" i="3"/>
  <c r="AZ11" i="3" s="1"/>
  <c r="AZ8" i="3"/>
  <c r="BB14" i="2"/>
  <c r="BB15" i="2" s="1"/>
  <c r="BK52" i="3" l="1"/>
  <c r="BJ58" i="3"/>
  <c r="AG18" i="2"/>
  <c r="AF24" i="2"/>
  <c r="AF8" i="4"/>
  <c r="AF7" i="4"/>
  <c r="BB15" i="6"/>
  <c r="BB21" i="2"/>
  <c r="H22" i="2"/>
  <c r="BF14" i="6"/>
  <c r="BE33" i="3"/>
  <c r="BE41" i="3" s="1"/>
  <c r="BB22" i="3"/>
  <c r="BC16" i="3"/>
  <c r="BC17" i="3" s="1"/>
  <c r="BE36" i="3" a="1"/>
  <c r="BE36" i="3" s="1"/>
  <c r="BD28" i="3"/>
  <c r="BE25" i="3" s="1"/>
  <c r="BD39" i="3"/>
  <c r="BD40" i="3"/>
  <c r="BJ64" i="3"/>
  <c r="BK61" i="3" s="1"/>
  <c r="BK71" i="3"/>
  <c r="BK72" i="3" a="1"/>
  <c r="BK72" i="3" s="1"/>
  <c r="BK69" i="3"/>
  <c r="BK74" i="3" s="1"/>
  <c r="BD32" i="3"/>
  <c r="BD30" i="3"/>
  <c r="BE45" i="3" a="1"/>
  <c r="BE45" i="3" s="1"/>
  <c r="BE44" i="3"/>
  <c r="BE42" i="3"/>
  <c r="BE47" i="3" s="1"/>
  <c r="BJ68" i="3"/>
  <c r="AZ10" i="3"/>
  <c r="AZ14" i="3"/>
  <c r="AZ4" i="3" s="1"/>
  <c r="AZ5" i="3"/>
  <c r="BB16" i="2"/>
  <c r="AF19" i="4" l="1"/>
  <c r="AF20" i="4" s="1"/>
  <c r="AF7" i="5"/>
  <c r="BK53" i="3"/>
  <c r="BK51" i="3"/>
  <c r="BK54" i="3" a="1"/>
  <c r="BK54" i="3" s="1"/>
  <c r="AF25" i="2"/>
  <c r="AF9" i="4"/>
  <c r="AF22" i="6"/>
  <c r="AF23" i="6"/>
  <c r="AG20" i="2"/>
  <c r="AG15" i="4" s="1"/>
  <c r="BB16" i="6"/>
  <c r="BB13" i="4"/>
  <c r="BE38" i="3"/>
  <c r="BE39" i="3" s="1"/>
  <c r="BC15" i="3"/>
  <c r="BC20" i="3" s="1"/>
  <c r="BC18" i="3" a="1"/>
  <c r="BC18" i="3" s="1"/>
  <c r="BC19" i="3" s="1"/>
  <c r="BE37" i="3"/>
  <c r="BJ67" i="3"/>
  <c r="BE46" i="3"/>
  <c r="BF43" i="3" s="1"/>
  <c r="BF45" i="3" s="1" a="1"/>
  <c r="BF45" i="3" s="1"/>
  <c r="BE24" i="3"/>
  <c r="BE26" i="3"/>
  <c r="BE27" i="3" a="1"/>
  <c r="BE27" i="3" s="1"/>
  <c r="BE50" i="3"/>
  <c r="BK77" i="3"/>
  <c r="BK75" i="3"/>
  <c r="BK73" i="3"/>
  <c r="BK62" i="3"/>
  <c r="BK63" i="3" a="1"/>
  <c r="BK63" i="3" s="1"/>
  <c r="BK60" i="3"/>
  <c r="BJ66" i="3"/>
  <c r="BD31" i="3"/>
  <c r="AZ12" i="3"/>
  <c r="AZ2" i="3" s="1"/>
  <c r="AZ13" i="3"/>
  <c r="AZ3" i="3" s="1"/>
  <c r="BG22" i="2" s="1"/>
  <c r="BG14" i="6" s="1"/>
  <c r="BA7" i="3"/>
  <c r="BK59" i="3" l="1"/>
  <c r="BK56" i="3"/>
  <c r="BK57" i="3" s="1"/>
  <c r="BK55" i="3"/>
  <c r="BC23" i="3"/>
  <c r="AF8" i="5"/>
  <c r="AF8" i="7"/>
  <c r="AG23" i="2"/>
  <c r="AG6" i="5" s="1"/>
  <c r="BE40" i="3"/>
  <c r="BC22" i="3"/>
  <c r="BD16" i="3"/>
  <c r="BD18" i="3" s="1" a="1"/>
  <c r="BD18" i="3" s="1"/>
  <c r="BF34" i="3"/>
  <c r="BF35" i="3" s="1"/>
  <c r="BK68" i="3"/>
  <c r="BK65" i="3"/>
  <c r="BK66" i="3" s="1"/>
  <c r="BE32" i="3"/>
  <c r="BE29" i="3"/>
  <c r="BE30" i="3" s="1"/>
  <c r="BC21" i="3"/>
  <c r="BF42" i="3"/>
  <c r="BF44" i="3"/>
  <c r="BF46" i="3" s="1"/>
  <c r="BG43" i="3" s="1"/>
  <c r="BE48" i="3"/>
  <c r="BK76" i="3"/>
  <c r="BE49" i="3"/>
  <c r="BE28" i="3"/>
  <c r="BK64" i="3"/>
  <c r="BA8" i="3"/>
  <c r="BA9" i="3" a="1"/>
  <c r="BA9" i="3" s="1"/>
  <c r="BA6" i="3"/>
  <c r="BA11" i="3" s="1"/>
  <c r="BC14" i="2"/>
  <c r="BC15" i="2" s="1"/>
  <c r="BK58" i="3" l="1"/>
  <c r="AH18" i="2"/>
  <c r="AH20" i="2" s="1"/>
  <c r="AG24" i="2"/>
  <c r="AG8" i="4"/>
  <c r="AG7" i="4"/>
  <c r="BC15" i="6"/>
  <c r="BC21" i="2"/>
  <c r="BD17" i="3"/>
  <c r="BD19" i="3" s="1"/>
  <c r="BD15" i="3"/>
  <c r="BD20" i="3" s="1"/>
  <c r="BD21" i="3" s="1"/>
  <c r="BF33" i="3"/>
  <c r="BF38" i="3" s="1"/>
  <c r="BF36" i="3" a="1"/>
  <c r="BF36" i="3" s="1"/>
  <c r="BF37" i="3" s="1"/>
  <c r="BF50" i="3"/>
  <c r="BF47" i="3"/>
  <c r="BG44" i="3"/>
  <c r="BG42" i="3"/>
  <c r="BG50" i="3" s="1"/>
  <c r="BG45" i="3" a="1"/>
  <c r="BG45" i="3" s="1"/>
  <c r="BK67" i="3"/>
  <c r="BE31" i="3"/>
  <c r="BF25" i="3"/>
  <c r="BA14" i="3"/>
  <c r="BA4" i="3" s="1"/>
  <c r="BA10" i="3"/>
  <c r="BC16" i="2"/>
  <c r="AG19" i="4" l="1"/>
  <c r="AG20" i="4" s="1"/>
  <c r="AG7" i="5"/>
  <c r="BD23" i="3"/>
  <c r="AG25" i="2"/>
  <c r="AG8" i="5" s="1"/>
  <c r="AG9" i="4"/>
  <c r="AG22" i="6"/>
  <c r="AG23" i="6"/>
  <c r="AH15" i="4"/>
  <c r="F15" i="4" s="1"/>
  <c r="F18" i="2"/>
  <c r="BC16" i="6"/>
  <c r="BC13" i="4"/>
  <c r="BF41" i="3"/>
  <c r="BG47" i="3"/>
  <c r="BG48" i="3" s="1"/>
  <c r="BF48" i="3"/>
  <c r="BF49" i="3"/>
  <c r="BG46" i="3"/>
  <c r="BH43" i="3" s="1"/>
  <c r="BH42" i="3" s="1"/>
  <c r="BH50" i="3" s="1"/>
  <c r="BA12" i="3"/>
  <c r="BA2" i="3" s="1"/>
  <c r="BA5" i="3"/>
  <c r="BF40" i="3"/>
  <c r="BG34" i="3"/>
  <c r="BF39" i="3"/>
  <c r="BF26" i="3"/>
  <c r="BF27" i="3" a="1"/>
  <c r="BF27" i="3" s="1"/>
  <c r="BF24" i="3"/>
  <c r="BF29" i="3" s="1"/>
  <c r="BD22" i="3"/>
  <c r="BE16" i="3"/>
  <c r="BA13" i="3"/>
  <c r="BA3" i="3" s="1"/>
  <c r="BH22" i="2" s="1"/>
  <c r="BH14" i="6" s="1"/>
  <c r="BB7" i="3"/>
  <c r="AG8" i="7" l="1"/>
  <c r="AH23" i="2"/>
  <c r="AH6" i="5" s="1"/>
  <c r="BG49" i="3"/>
  <c r="BH45" i="3" a="1"/>
  <c r="BH45" i="3" s="1"/>
  <c r="BH44" i="3"/>
  <c r="BH47" i="3"/>
  <c r="BG36" i="3" a="1"/>
  <c r="BG36" i="3" s="1"/>
  <c r="BG35" i="3"/>
  <c r="BG33" i="3"/>
  <c r="BG38" i="3" s="1"/>
  <c r="BE17" i="3"/>
  <c r="BE18" i="3" a="1"/>
  <c r="BE18" i="3" s="1"/>
  <c r="BE15" i="3"/>
  <c r="BE20" i="3" s="1"/>
  <c r="BF32" i="3"/>
  <c r="BF30" i="3"/>
  <c r="BF28" i="3"/>
  <c r="BB8" i="3"/>
  <c r="BB9" i="3" a="1"/>
  <c r="BB9" i="3" s="1"/>
  <c r="BB6" i="3"/>
  <c r="BB11" i="3" s="1"/>
  <c r="BD14" i="2"/>
  <c r="BD15" i="2" s="1"/>
  <c r="AH8" i="4" l="1"/>
  <c r="AH7" i="4"/>
  <c r="F23" i="2"/>
  <c r="F6" i="5" s="1"/>
  <c r="AI18" i="2"/>
  <c r="AH24" i="2"/>
  <c r="AH7" i="5" s="1"/>
  <c r="BD15" i="6"/>
  <c r="BD21" i="2"/>
  <c r="BH48" i="3"/>
  <c r="BH46" i="3"/>
  <c r="BG41" i="3"/>
  <c r="BG39" i="3"/>
  <c r="BG37" i="3"/>
  <c r="BE19" i="3"/>
  <c r="BE23" i="3"/>
  <c r="BF31" i="3"/>
  <c r="BG25" i="3"/>
  <c r="BB14" i="3"/>
  <c r="BB4" i="3" s="1"/>
  <c r="BB10" i="3"/>
  <c r="BD16" i="2"/>
  <c r="AI20" i="2" l="1"/>
  <c r="AI15" i="4" s="1"/>
  <c r="AH9" i="4"/>
  <c r="F9" i="4" s="1"/>
  <c r="AH22" i="6"/>
  <c r="F7" i="4"/>
  <c r="AH25" i="2"/>
  <c r="AH8" i="7" s="1"/>
  <c r="F24" i="2"/>
  <c r="F7" i="5" s="1"/>
  <c r="AH19" i="4"/>
  <c r="AH20" i="4" s="1"/>
  <c r="AH23" i="6"/>
  <c r="F23" i="6" s="1"/>
  <c r="F8" i="4"/>
  <c r="BD16" i="6"/>
  <c r="BD13" i="4"/>
  <c r="BI43" i="3"/>
  <c r="BH49" i="3"/>
  <c r="BB12" i="3"/>
  <c r="BB2" i="3" s="1"/>
  <c r="BB5" i="3"/>
  <c r="BG40" i="3"/>
  <c r="BH34" i="3"/>
  <c r="BG27" i="3" a="1"/>
  <c r="BG27" i="3" s="1"/>
  <c r="BG26" i="3"/>
  <c r="BG24" i="3"/>
  <c r="BG29" i="3" s="1"/>
  <c r="BE21" i="3"/>
  <c r="BE22" i="3"/>
  <c r="BF16" i="3"/>
  <c r="BB13" i="3"/>
  <c r="BB3" i="3" s="1"/>
  <c r="BI22" i="2" s="1"/>
  <c r="BI14" i="6" s="1"/>
  <c r="BC7" i="3"/>
  <c r="AI23" i="2" l="1"/>
  <c r="AH8" i="5"/>
  <c r="F8" i="5" s="1"/>
  <c r="F25" i="2"/>
  <c r="AH24" i="6"/>
  <c r="F22" i="6"/>
  <c r="BI44" i="3"/>
  <c r="BI45" i="3" a="1"/>
  <c r="BI45" i="3" s="1"/>
  <c r="BI42" i="3"/>
  <c r="BH33" i="3"/>
  <c r="BH38" i="3" s="1"/>
  <c r="BH35" i="3"/>
  <c r="BH36" i="3" a="1"/>
  <c r="BH36" i="3" s="1"/>
  <c r="BG32" i="3"/>
  <c r="BG28" i="3"/>
  <c r="BF15" i="3"/>
  <c r="BF20" i="3" s="1"/>
  <c r="BF17" i="3"/>
  <c r="BF18" i="3" a="1"/>
  <c r="BF18" i="3" s="1"/>
  <c r="BC9" i="3" a="1"/>
  <c r="BC9" i="3" s="1"/>
  <c r="BC6" i="3"/>
  <c r="BC11" i="3" s="1"/>
  <c r="BC8" i="3"/>
  <c r="BE14" i="2"/>
  <c r="BE15" i="2" s="1"/>
  <c r="AI24" i="2" l="1"/>
  <c r="AI25" i="2" s="1"/>
  <c r="AI8" i="5" s="1"/>
  <c r="AI6" i="5"/>
  <c r="AS9" i="1"/>
  <c r="F8" i="8"/>
  <c r="H8" i="8" s="1"/>
  <c r="AI8" i="4"/>
  <c r="AI23" i="6" s="1"/>
  <c r="AJ18" i="2"/>
  <c r="AJ20" i="2" s="1"/>
  <c r="AJ15" i="4" s="1"/>
  <c r="AI7" i="4"/>
  <c r="BE15" i="6"/>
  <c r="BE21" i="2"/>
  <c r="BI46" i="3"/>
  <c r="BI47" i="3"/>
  <c r="BI50" i="3"/>
  <c r="BH37" i="3"/>
  <c r="BH41" i="3"/>
  <c r="BG30" i="3"/>
  <c r="BF23" i="3"/>
  <c r="BF21" i="3"/>
  <c r="BG31" i="3"/>
  <c r="BH25" i="3"/>
  <c r="BF19" i="3"/>
  <c r="BC10" i="3"/>
  <c r="BD7" i="3" s="1"/>
  <c r="BC14" i="3"/>
  <c r="BC4" i="3" s="1"/>
  <c r="BE16" i="2"/>
  <c r="AI19" i="4" l="1"/>
  <c r="AI20" i="4" s="1"/>
  <c r="AI7" i="5"/>
  <c r="G8" i="8"/>
  <c r="AI8" i="7"/>
  <c r="AJ23" i="2"/>
  <c r="AJ6" i="5" s="1"/>
  <c r="BE16" i="6"/>
  <c r="BE13" i="4"/>
  <c r="BJ43" i="3"/>
  <c r="BI49" i="3"/>
  <c r="BI48" i="3"/>
  <c r="BC12" i="3"/>
  <c r="BC2" i="3" s="1"/>
  <c r="BC5" i="3"/>
  <c r="BH39" i="3"/>
  <c r="BH40" i="3"/>
  <c r="BI34" i="3"/>
  <c r="BF22" i="3"/>
  <c r="BG16" i="3"/>
  <c r="BH26" i="3"/>
  <c r="BH27" i="3" a="1"/>
  <c r="BH27" i="3" s="1"/>
  <c r="BH24" i="3"/>
  <c r="BH29" i="3" s="1"/>
  <c r="BC13" i="3"/>
  <c r="BC3" i="3" s="1"/>
  <c r="BJ22" i="2" s="1"/>
  <c r="BJ14" i="6" s="1"/>
  <c r="BD8" i="3"/>
  <c r="BD9" i="3" a="1"/>
  <c r="BD9" i="3" s="1"/>
  <c r="BD6" i="3"/>
  <c r="BD11" i="3" s="1"/>
  <c r="BF14" i="2"/>
  <c r="H14" i="2" s="1"/>
  <c r="AJ7" i="4" l="1"/>
  <c r="AJ24" i="2"/>
  <c r="AK18" i="2"/>
  <c r="AJ8" i="4"/>
  <c r="BD14" i="3"/>
  <c r="BD4" i="3" s="1"/>
  <c r="BJ44" i="3"/>
  <c r="BJ42" i="3"/>
  <c r="BJ45" i="3" a="1"/>
  <c r="BJ45" i="3" s="1"/>
  <c r="BI33" i="3"/>
  <c r="BI38" i="3" s="1"/>
  <c r="BI35" i="3"/>
  <c r="BI36" i="3" a="1"/>
  <c r="BI36" i="3" s="1"/>
  <c r="BH32" i="3"/>
  <c r="BH30" i="3"/>
  <c r="BG17" i="3"/>
  <c r="BG18" i="3" a="1"/>
  <c r="BG18" i="3" s="1"/>
  <c r="BG15" i="3"/>
  <c r="BG20" i="3" s="1"/>
  <c r="BH28" i="3"/>
  <c r="BD10" i="3"/>
  <c r="BF15" i="2"/>
  <c r="AJ19" i="4" l="1"/>
  <c r="AJ7" i="5"/>
  <c r="AJ25" i="2"/>
  <c r="AK20" i="2"/>
  <c r="AK15" i="4" s="1"/>
  <c r="BF15" i="6"/>
  <c r="H15" i="6" s="1"/>
  <c r="BF21" i="2"/>
  <c r="H15" i="2"/>
  <c r="BJ47" i="3"/>
  <c r="BJ50" i="3"/>
  <c r="BJ46" i="3"/>
  <c r="BD12" i="3"/>
  <c r="BD2" i="3" s="1"/>
  <c r="BD5" i="3"/>
  <c r="BI37" i="3"/>
  <c r="BI41" i="3"/>
  <c r="BG19" i="3"/>
  <c r="BG23" i="3"/>
  <c r="BG21" i="3"/>
  <c r="BH31" i="3"/>
  <c r="BI25" i="3"/>
  <c r="BD13" i="3"/>
  <c r="BD3" i="3" s="1"/>
  <c r="BK22" i="2" s="1"/>
  <c r="BK14" i="6" s="1"/>
  <c r="BE7" i="3"/>
  <c r="BF16" i="2"/>
  <c r="AJ8" i="5" l="1"/>
  <c r="AJ8" i="7"/>
  <c r="AK23" i="2"/>
  <c r="AK6" i="5" s="1"/>
  <c r="H21" i="2"/>
  <c r="BF16" i="6"/>
  <c r="BF13" i="4"/>
  <c r="H13" i="4" s="1"/>
  <c r="BJ48" i="3"/>
  <c r="BJ49" i="3"/>
  <c r="BK43" i="3"/>
  <c r="BI40" i="3"/>
  <c r="BJ34" i="3"/>
  <c r="BI39" i="3"/>
  <c r="BI24" i="3"/>
  <c r="BI29" i="3" s="1"/>
  <c r="BI27" i="3" a="1"/>
  <c r="BI27" i="3" s="1"/>
  <c r="BI26" i="3"/>
  <c r="BG22" i="3"/>
  <c r="BH16" i="3"/>
  <c r="BE6" i="3"/>
  <c r="BE11" i="3" s="1"/>
  <c r="BE9" i="3" a="1"/>
  <c r="BE9" i="3" s="1"/>
  <c r="BE8" i="3"/>
  <c r="H16" i="2"/>
  <c r="BG14" i="2"/>
  <c r="BG15" i="2" s="1"/>
  <c r="H14" i="6"/>
  <c r="H31" i="6"/>
  <c r="AK8" i="4" l="1"/>
  <c r="AK7" i="4"/>
  <c r="AL18" i="2"/>
  <c r="AK24" i="2"/>
  <c r="BG15" i="6"/>
  <c r="BG21" i="2"/>
  <c r="BK45" i="3" a="1"/>
  <c r="BK45" i="3" s="1"/>
  <c r="BK44" i="3"/>
  <c r="BK42" i="3"/>
  <c r="BJ35" i="3"/>
  <c r="BJ33" i="3"/>
  <c r="BJ38" i="3" s="1"/>
  <c r="BJ36" i="3" a="1"/>
  <c r="BJ36" i="3" s="1"/>
  <c r="BI28" i="3"/>
  <c r="BJ25" i="3" s="1"/>
  <c r="BI32" i="3"/>
  <c r="BH17" i="3"/>
  <c r="BH15" i="3"/>
  <c r="BH20" i="3" s="1"/>
  <c r="BH18" i="3" a="1"/>
  <c r="BH18" i="3" s="1"/>
  <c r="BE10" i="3"/>
  <c r="BE14" i="3"/>
  <c r="BE4" i="3" s="1"/>
  <c r="BG16" i="2"/>
  <c r="AK19" i="4" l="1"/>
  <c r="AK7" i="5"/>
  <c r="AK25" i="2"/>
  <c r="AL20" i="2"/>
  <c r="AL15" i="4" s="1"/>
  <c r="BG16" i="6"/>
  <c r="BG13" i="4"/>
  <c r="BK47" i="3"/>
  <c r="BK48" i="3" s="1"/>
  <c r="BK50" i="3"/>
  <c r="BK46" i="3"/>
  <c r="BE12" i="3"/>
  <c r="BE2" i="3" s="1"/>
  <c r="BE5" i="3"/>
  <c r="BJ41" i="3"/>
  <c r="BJ37" i="3"/>
  <c r="BH23" i="3"/>
  <c r="BH21" i="3"/>
  <c r="BI30" i="3"/>
  <c r="BH19" i="3"/>
  <c r="BJ24" i="3"/>
  <c r="BJ26" i="3"/>
  <c r="BJ27" i="3" a="1"/>
  <c r="BJ27" i="3" s="1"/>
  <c r="BI31" i="3"/>
  <c r="BE13" i="3"/>
  <c r="BE3" i="3" s="1"/>
  <c r="BL22" i="2" s="1"/>
  <c r="BL14" i="6" s="1"/>
  <c r="BF7" i="3"/>
  <c r="AK8" i="5" l="1"/>
  <c r="AK8" i="7"/>
  <c r="AL23" i="2"/>
  <c r="AL6" i="5" s="1"/>
  <c r="BK49" i="3"/>
  <c r="BJ32" i="3"/>
  <c r="BJ29" i="3"/>
  <c r="BJ30" i="3" s="1"/>
  <c r="BJ40" i="3"/>
  <c r="BK34" i="3"/>
  <c r="BJ39" i="3"/>
  <c r="BJ28" i="3"/>
  <c r="BK25" i="3" s="1"/>
  <c r="BH22" i="3"/>
  <c r="BI16" i="3"/>
  <c r="BF6" i="3"/>
  <c r="BF11" i="3" s="1"/>
  <c r="BF9" i="3" a="1"/>
  <c r="BF9" i="3" s="1"/>
  <c r="BF8" i="3"/>
  <c r="BH14" i="2"/>
  <c r="BH15" i="2" s="1"/>
  <c r="AL24" i="2" l="1"/>
  <c r="AM18" i="2"/>
  <c r="AL8" i="4"/>
  <c r="AL7" i="4"/>
  <c r="BH15" i="6"/>
  <c r="BH21" i="2"/>
  <c r="BH16" i="2"/>
  <c r="BK33" i="3"/>
  <c r="BK38" i="3" s="1"/>
  <c r="BK36" i="3" a="1"/>
  <c r="BK36" i="3" s="1"/>
  <c r="BK35" i="3"/>
  <c r="BI15" i="3"/>
  <c r="BI20" i="3" s="1"/>
  <c r="BI18" i="3" a="1"/>
  <c r="BI18" i="3" s="1"/>
  <c r="BI17" i="3"/>
  <c r="BK24" i="3"/>
  <c r="BK32" i="3" s="1"/>
  <c r="BK26" i="3"/>
  <c r="BK27" i="3" a="1"/>
  <c r="BK27" i="3" s="1"/>
  <c r="BJ31" i="3"/>
  <c r="BF10" i="3"/>
  <c r="BG7" i="3" s="1"/>
  <c r="BG6" i="3" s="1"/>
  <c r="BG14" i="3" s="1"/>
  <c r="BG4" i="3" s="1"/>
  <c r="BF14" i="3"/>
  <c r="BF4" i="3" s="1"/>
  <c r="BF5" i="3"/>
  <c r="AL19" i="4" l="1"/>
  <c r="AL7" i="5"/>
  <c r="BG11" i="3"/>
  <c r="AL25" i="2"/>
  <c r="AM20" i="2"/>
  <c r="AM15" i="4" s="1"/>
  <c r="BH16" i="6"/>
  <c r="BH13" i="4"/>
  <c r="BG5" i="3"/>
  <c r="BK29" i="3"/>
  <c r="BK30" i="3" s="1"/>
  <c r="BK37" i="3"/>
  <c r="BK40" i="3" s="1"/>
  <c r="BK41" i="3"/>
  <c r="BK28" i="3"/>
  <c r="BG9" i="3" a="1"/>
  <c r="BG9" i="3" s="1"/>
  <c r="BI19" i="3"/>
  <c r="BI23" i="3"/>
  <c r="BG8" i="3"/>
  <c r="BF13" i="3"/>
  <c r="BF3" i="3" s="1"/>
  <c r="BM22" i="2" s="1"/>
  <c r="BM14" i="6" s="1"/>
  <c r="BF12" i="3"/>
  <c r="BF2" i="3" s="1"/>
  <c r="AL8" i="5" l="1"/>
  <c r="AL8" i="7"/>
  <c r="AM23" i="2"/>
  <c r="AM6" i="5" s="1"/>
  <c r="BK31" i="3"/>
  <c r="BG10" i="3"/>
  <c r="BG13" i="3" s="1"/>
  <c r="BG3" i="3" s="1"/>
  <c r="BN22" i="2" s="1"/>
  <c r="BN14" i="6" s="1"/>
  <c r="BG12" i="3"/>
  <c r="BG2" i="3" s="1"/>
  <c r="BK39" i="3"/>
  <c r="BI21" i="3"/>
  <c r="BI22" i="3"/>
  <c r="BJ16" i="3"/>
  <c r="BI14" i="2"/>
  <c r="BI15" i="2" s="1"/>
  <c r="AG24" i="6"/>
  <c r="BH7" i="3" l="1"/>
  <c r="BH6" i="3" s="1"/>
  <c r="BH11" i="3" s="1"/>
  <c r="AM24" i="2"/>
  <c r="AM8" i="4"/>
  <c r="AN18" i="2"/>
  <c r="AM7" i="4"/>
  <c r="BI15" i="6"/>
  <c r="BI21" i="2"/>
  <c r="BJ15" i="3"/>
  <c r="BJ20" i="3" s="1"/>
  <c r="BJ18" i="3" a="1"/>
  <c r="BJ18" i="3" s="1"/>
  <c r="BJ17" i="3"/>
  <c r="BH8" i="3"/>
  <c r="BI16" i="2"/>
  <c r="E10" i="4"/>
  <c r="AM19" i="4" l="1"/>
  <c r="AM7" i="5"/>
  <c r="BH9" i="3" a="1"/>
  <c r="BH9" i="3" s="1"/>
  <c r="BH10" i="3" s="1"/>
  <c r="AM25" i="2"/>
  <c r="AM8" i="5" s="1"/>
  <c r="AN20" i="2"/>
  <c r="AN15" i="4" s="1"/>
  <c r="BI16" i="6"/>
  <c r="BI13" i="4"/>
  <c r="BJ19" i="3"/>
  <c r="BJ23" i="3"/>
  <c r="BH14" i="3"/>
  <c r="BH4" i="3" s="1"/>
  <c r="BH5" i="3"/>
  <c r="AM8" i="7" l="1"/>
  <c r="AN23" i="2"/>
  <c r="AN6" i="5" s="1"/>
  <c r="BJ21" i="3"/>
  <c r="BJ22" i="3"/>
  <c r="BK16" i="3"/>
  <c r="BH13" i="3"/>
  <c r="BH3" i="3" s="1"/>
  <c r="BO22" i="2" s="1"/>
  <c r="BO14" i="6" s="1"/>
  <c r="BI7" i="3"/>
  <c r="BH12" i="3"/>
  <c r="BH2" i="3" s="1"/>
  <c r="BJ14" i="2"/>
  <c r="BJ15" i="2" s="1"/>
  <c r="AN8" i="4" l="1"/>
  <c r="AN24" i="2"/>
  <c r="AO18" i="2"/>
  <c r="AN7" i="4"/>
  <c r="BJ15" i="6"/>
  <c r="BJ21" i="2"/>
  <c r="BK17" i="3"/>
  <c r="BK15" i="3"/>
  <c r="BK20" i="3" s="1"/>
  <c r="BK18" i="3" a="1"/>
  <c r="BK18" i="3" s="1"/>
  <c r="BI6" i="3"/>
  <c r="BI11" i="3" s="1"/>
  <c r="BI8" i="3"/>
  <c r="BI9" i="3" a="1"/>
  <c r="BI9" i="3" s="1"/>
  <c r="BJ16" i="2"/>
  <c r="K14" i="4"/>
  <c r="K24" i="4" s="1"/>
  <c r="AN19" i="4" l="1"/>
  <c r="AN7" i="5"/>
  <c r="AN25" i="2"/>
  <c r="AO20" i="2"/>
  <c r="AO15" i="4" s="1"/>
  <c r="BJ16" i="6"/>
  <c r="BJ13" i="4"/>
  <c r="BK23" i="3"/>
  <c r="BK21" i="3"/>
  <c r="BK19" i="3"/>
  <c r="BI10" i="3"/>
  <c r="BI14" i="3"/>
  <c r="BI4" i="3" s="1"/>
  <c r="BI5" i="3"/>
  <c r="K24" i="6"/>
  <c r="K26" i="6" s="1"/>
  <c r="L24" i="6"/>
  <c r="P24" i="6"/>
  <c r="T24" i="6"/>
  <c r="R24" i="6"/>
  <c r="Q24" i="6"/>
  <c r="S24" i="6"/>
  <c r="AN8" i="5" l="1"/>
  <c r="AN8" i="7"/>
  <c r="AO23" i="2"/>
  <c r="AO6" i="5" s="1"/>
  <c r="BK22" i="3"/>
  <c r="BI13" i="3"/>
  <c r="BI3" i="3" s="1"/>
  <c r="BP22" i="2" s="1"/>
  <c r="BP14" i="6" s="1"/>
  <c r="BJ7" i="3"/>
  <c r="BI12" i="3"/>
  <c r="BI2" i="3" s="1"/>
  <c r="BK14" i="2"/>
  <c r="BK15" i="2" s="1"/>
  <c r="O24" i="6"/>
  <c r="M24" i="6"/>
  <c r="AO7" i="4" l="1"/>
  <c r="AO8" i="4"/>
  <c r="AP18" i="2"/>
  <c r="AO24" i="2"/>
  <c r="BK15" i="6"/>
  <c r="BK21" i="2"/>
  <c r="BJ6" i="3"/>
  <c r="BJ11" i="3" s="1"/>
  <c r="BJ9" i="3" a="1"/>
  <c r="BJ9" i="3" s="1"/>
  <c r="BJ8" i="3"/>
  <c r="BK16" i="2"/>
  <c r="F10" i="4"/>
  <c r="AO19" i="4" l="1"/>
  <c r="AO7" i="5"/>
  <c r="AO25" i="2"/>
  <c r="AP20" i="2"/>
  <c r="AP15" i="4" s="1"/>
  <c r="BK16" i="6"/>
  <c r="BK13" i="4"/>
  <c r="BJ10" i="3"/>
  <c r="BK7" i="3" s="1"/>
  <c r="BJ14" i="3"/>
  <c r="BJ4" i="3" s="1"/>
  <c r="AO8" i="5" l="1"/>
  <c r="AO8" i="7"/>
  <c r="AP23" i="2"/>
  <c r="AP6" i="5" s="1"/>
  <c r="BJ13" i="3"/>
  <c r="BJ3" i="3" s="1"/>
  <c r="BQ22" i="2" s="1"/>
  <c r="BQ14" i="6" s="1"/>
  <c r="BJ5" i="3"/>
  <c r="BJ12" i="3"/>
  <c r="BJ2" i="3" s="1"/>
  <c r="BK9" i="3" a="1"/>
  <c r="BK9" i="3" s="1"/>
  <c r="BK8" i="3"/>
  <c r="BK6" i="3"/>
  <c r="BK11" i="3" s="1"/>
  <c r="BL14" i="2"/>
  <c r="BL15" i="2" s="1"/>
  <c r="AP7" i="4" l="1"/>
  <c r="AP8" i="4"/>
  <c r="AP24" i="2"/>
  <c r="AQ18" i="2"/>
  <c r="BL15" i="6"/>
  <c r="BL21" i="2"/>
  <c r="BK14" i="3"/>
  <c r="BK4" i="3" s="1"/>
  <c r="BK5" i="3"/>
  <c r="BK10" i="3"/>
  <c r="BL16" i="2"/>
  <c r="AD24" i="6"/>
  <c r="Z24" i="6"/>
  <c r="AB24" i="6"/>
  <c r="AF24" i="6"/>
  <c r="Y24" i="6"/>
  <c r="AC24" i="6"/>
  <c r="X24" i="6"/>
  <c r="AE24" i="6"/>
  <c r="AA24" i="6"/>
  <c r="AP19" i="4" l="1"/>
  <c r="AP7" i="5"/>
  <c r="AQ20" i="2"/>
  <c r="AQ15" i="4" s="1"/>
  <c r="AP25" i="2"/>
  <c r="BL16" i="6"/>
  <c r="BL13" i="4"/>
  <c r="BK13" i="3"/>
  <c r="BK3" i="3" s="1"/>
  <c r="BK12" i="3"/>
  <c r="BK2" i="3" s="1"/>
  <c r="V24" i="6"/>
  <c r="AP8" i="5" l="1"/>
  <c r="AP8" i="7"/>
  <c r="AQ23" i="2"/>
  <c r="AQ6" i="5" s="1"/>
  <c r="BR22" i="2"/>
  <c r="BM14" i="2"/>
  <c r="BM15" i="2" s="1"/>
  <c r="U24" i="6"/>
  <c r="AQ8" i="4" l="1"/>
  <c r="AQ7" i="4"/>
  <c r="AR18" i="2"/>
  <c r="AQ24" i="2"/>
  <c r="BM15" i="6"/>
  <c r="BM21" i="2"/>
  <c r="I22" i="2"/>
  <c r="BR14" i="6"/>
  <c r="BM16" i="2"/>
  <c r="W24" i="6"/>
  <c r="AQ19" i="4" l="1"/>
  <c r="AQ7" i="5"/>
  <c r="AR20" i="2"/>
  <c r="AR15" i="4" s="1"/>
  <c r="AQ25" i="2"/>
  <c r="BM16" i="6"/>
  <c r="BM13" i="4"/>
  <c r="F24" i="6"/>
  <c r="AQ8" i="5" l="1"/>
  <c r="AQ8" i="7"/>
  <c r="AR23" i="2"/>
  <c r="AR6" i="5" s="1"/>
  <c r="BN14" i="2"/>
  <c r="BN15" i="2" s="1"/>
  <c r="AR7" i="4" l="1"/>
  <c r="AR24" i="2"/>
  <c r="AR8" i="4"/>
  <c r="AS18" i="2"/>
  <c r="BN15" i="6"/>
  <c r="BN21" i="2"/>
  <c r="BN16" i="2"/>
  <c r="AR19" i="4" l="1"/>
  <c r="AR7" i="5"/>
  <c r="AS20" i="2"/>
  <c r="AS15" i="4" s="1"/>
  <c r="AR25" i="2"/>
  <c r="BN16" i="6"/>
  <c r="BN13" i="4"/>
  <c r="AR8" i="5" l="1"/>
  <c r="AR8" i="7"/>
  <c r="AS23" i="2"/>
  <c r="AS6" i="5" s="1"/>
  <c r="BO14" i="2"/>
  <c r="BO15" i="2" s="1"/>
  <c r="AS24" i="2" l="1"/>
  <c r="AT18" i="2"/>
  <c r="AS7" i="4"/>
  <c r="AS8" i="4"/>
  <c r="BO15" i="6"/>
  <c r="BO21" i="2"/>
  <c r="BO16" i="2"/>
  <c r="AS19" i="4" l="1"/>
  <c r="AS7" i="5"/>
  <c r="AS25" i="2"/>
  <c r="AT20" i="2"/>
  <c r="AT15" i="4" s="1"/>
  <c r="G15" i="4" s="1"/>
  <c r="G18" i="2"/>
  <c r="BO16" i="6"/>
  <c r="BO13" i="4"/>
  <c r="AS8" i="5" l="1"/>
  <c r="AS8" i="7"/>
  <c r="AT23" i="2"/>
  <c r="AT6" i="5" s="1"/>
  <c r="BP14" i="2"/>
  <c r="BP15" i="2" s="1"/>
  <c r="E20" i="4"/>
  <c r="D19" i="8" s="1"/>
  <c r="E19" i="4"/>
  <c r="G23" i="2" l="1"/>
  <c r="G6" i="5" s="1"/>
  <c r="AT8" i="4"/>
  <c r="AT7" i="4"/>
  <c r="AU18" i="2"/>
  <c r="AT24" i="2"/>
  <c r="AT7" i="5" s="1"/>
  <c r="BP15" i="6"/>
  <c r="BP21" i="2"/>
  <c r="BQ14" i="2"/>
  <c r="BQ15" i="2" s="1"/>
  <c r="BP16" i="2"/>
  <c r="AR18" i="1"/>
  <c r="AT25" i="2" l="1"/>
  <c r="AT8" i="7" s="1"/>
  <c r="AT19" i="4"/>
  <c r="G24" i="2"/>
  <c r="G7" i="5" s="1"/>
  <c r="AU20" i="2"/>
  <c r="AU15" i="4" s="1"/>
  <c r="BQ15" i="6"/>
  <c r="BQ21" i="2"/>
  <c r="BP16" i="6"/>
  <c r="BP13" i="4"/>
  <c r="BQ16" i="2"/>
  <c r="AU23" i="2" l="1"/>
  <c r="AU6" i="5" s="1"/>
  <c r="AT8" i="5"/>
  <c r="G8" i="5" s="1"/>
  <c r="G25" i="2"/>
  <c r="BQ16" i="6"/>
  <c r="BQ13" i="4"/>
  <c r="BR14" i="2"/>
  <c r="AT9" i="1" l="1"/>
  <c r="J8" i="8"/>
  <c r="L8" i="8" s="1"/>
  <c r="AU24" i="2"/>
  <c r="AU8" i="4"/>
  <c r="AU7" i="4"/>
  <c r="AV18" i="2"/>
  <c r="BR15" i="2"/>
  <c r="I14" i="2"/>
  <c r="AU19" i="4" l="1"/>
  <c r="AU7" i="5"/>
  <c r="K8" i="8"/>
  <c r="AV20" i="2"/>
  <c r="AV15" i="4" s="1"/>
  <c r="AU25" i="2"/>
  <c r="BR15" i="6"/>
  <c r="I15" i="6" s="1"/>
  <c r="BR21" i="2"/>
  <c r="I21" i="2" s="1"/>
  <c r="BR16" i="2"/>
  <c r="BR13" i="4" s="1"/>
  <c r="I13" i="4" s="1"/>
  <c r="I15" i="2"/>
  <c r="I14" i="6"/>
  <c r="I31" i="6"/>
  <c r="AU8" i="5" l="1"/>
  <c r="AU8" i="7"/>
  <c r="AV23" i="2"/>
  <c r="AV6" i="5" s="1"/>
  <c r="I16" i="2"/>
  <c r="BR16" i="6"/>
  <c r="AV8" i="4" l="1"/>
  <c r="AW18" i="2"/>
  <c r="AV7" i="4"/>
  <c r="AV24" i="2"/>
  <c r="F20" i="4"/>
  <c r="F19" i="4"/>
  <c r="AV19" i="4" l="1"/>
  <c r="AV7" i="5"/>
  <c r="AV25" i="2"/>
  <c r="AW20" i="2"/>
  <c r="AW15" i="4" s="1"/>
  <c r="AS18" i="1"/>
  <c r="F19" i="8"/>
  <c r="H19" i="8" s="1"/>
  <c r="AV8" i="5" l="1"/>
  <c r="AV8" i="7"/>
  <c r="AW23" i="2"/>
  <c r="AW6" i="5" s="1"/>
  <c r="G19" i="8"/>
  <c r="AW8" i="4" l="1"/>
  <c r="AW24" i="2"/>
  <c r="AX18" i="2"/>
  <c r="AW7" i="4"/>
  <c r="AS11" i="2"/>
  <c r="AS17" i="6" s="1"/>
  <c r="AT11" i="2"/>
  <c r="AV11" i="2"/>
  <c r="AV17" i="6" s="1"/>
  <c r="AW11" i="2"/>
  <c r="AW17" i="6" s="1"/>
  <c r="AX11" i="2"/>
  <c r="AX17" i="6" s="1"/>
  <c r="AY11" i="2"/>
  <c r="AY17" i="6" s="1"/>
  <c r="AZ11" i="2"/>
  <c r="AZ17" i="6" s="1"/>
  <c r="BA11" i="2"/>
  <c r="BA17" i="6" s="1"/>
  <c r="BB11" i="2"/>
  <c r="BB17" i="6" s="1"/>
  <c r="BC11" i="2"/>
  <c r="BC17" i="6" s="1"/>
  <c r="BD11" i="2"/>
  <c r="BD17" i="6" s="1"/>
  <c r="BE11" i="2"/>
  <c r="BE17" i="6" s="1"/>
  <c r="AU11" i="2"/>
  <c r="BF11" i="2"/>
  <c r="BF17" i="6" s="1"/>
  <c r="BH11" i="2"/>
  <c r="BH17" i="6" s="1"/>
  <c r="BI11" i="2"/>
  <c r="BI17" i="6" s="1"/>
  <c r="BJ11" i="2"/>
  <c r="BJ17" i="6" s="1"/>
  <c r="BK11" i="2"/>
  <c r="BK17" i="6" s="1"/>
  <c r="BL11" i="2"/>
  <c r="BL17" i="6" s="1"/>
  <c r="BM11" i="2"/>
  <c r="BM17" i="6" s="1"/>
  <c r="BN11" i="2"/>
  <c r="BN17" i="6" s="1"/>
  <c r="BO11" i="2"/>
  <c r="BO17" i="6" s="1"/>
  <c r="BP11" i="2"/>
  <c r="BP17" i="6" s="1"/>
  <c r="BG11" i="2"/>
  <c r="AW19" i="4" l="1"/>
  <c r="AW7" i="5"/>
  <c r="AW25" i="2"/>
  <c r="AX20" i="2"/>
  <c r="AX15" i="4" s="1"/>
  <c r="H11" i="2"/>
  <c r="AU17" i="6"/>
  <c r="H17" i="6" s="1"/>
  <c r="AT17" i="6"/>
  <c r="G17" i="6" s="1"/>
  <c r="G11" i="2"/>
  <c r="BG17" i="6"/>
  <c r="AX10" i="4"/>
  <c r="BK10" i="4"/>
  <c r="BH10" i="4"/>
  <c r="BI10" i="4"/>
  <c r="AT10" i="4"/>
  <c r="AS10" i="4"/>
  <c r="BA10" i="4"/>
  <c r="AY10" i="4"/>
  <c r="BE10" i="4"/>
  <c r="BN10" i="4"/>
  <c r="AU10" i="4"/>
  <c r="BB10" i="4"/>
  <c r="BO10" i="4"/>
  <c r="BP10" i="4"/>
  <c r="BC10" i="4"/>
  <c r="BG10" i="4"/>
  <c r="BM10" i="4"/>
  <c r="AZ10" i="4"/>
  <c r="BJ10" i="4"/>
  <c r="BL10" i="4"/>
  <c r="AV10" i="4"/>
  <c r="AW10" i="4"/>
  <c r="BF10" i="4"/>
  <c r="BD10" i="4"/>
  <c r="AW8" i="5" l="1"/>
  <c r="AW8" i="7"/>
  <c r="AX23" i="2"/>
  <c r="AX6" i="5" s="1"/>
  <c r="H10" i="4"/>
  <c r="G10" i="4"/>
  <c r="AY18" i="2" l="1"/>
  <c r="AX7" i="4"/>
  <c r="AX8" i="4"/>
  <c r="AX24" i="2"/>
  <c r="N24" i="6"/>
  <c r="AX19" i="4" l="1"/>
  <c r="AX7" i="5"/>
  <c r="AX25" i="2"/>
  <c r="AY20" i="2"/>
  <c r="AY15" i="4" s="1"/>
  <c r="E24" i="6"/>
  <c r="AX8" i="5" l="1"/>
  <c r="AX8" i="7"/>
  <c r="AY23" i="2"/>
  <c r="AY6" i="5" s="1"/>
  <c r="BQ11" i="2"/>
  <c r="AY24" i="2" l="1"/>
  <c r="AY8" i="4"/>
  <c r="AZ18" i="2"/>
  <c r="AY7" i="4"/>
  <c r="BQ17" i="6"/>
  <c r="BQ10" i="4"/>
  <c r="AY19" i="4" l="1"/>
  <c r="AY7" i="5"/>
  <c r="AY25" i="2"/>
  <c r="AY8" i="5" s="1"/>
  <c r="AZ20" i="2"/>
  <c r="AZ15" i="4" s="1"/>
  <c r="BR11" i="2"/>
  <c r="AY8" i="7" l="1"/>
  <c r="AZ23" i="2"/>
  <c r="AZ6" i="5" s="1"/>
  <c r="BR17" i="6"/>
  <c r="I17" i="6" s="1"/>
  <c r="I11" i="2"/>
  <c r="BR10" i="4"/>
  <c r="I10" i="4" s="1"/>
  <c r="AZ24" i="2" l="1"/>
  <c r="AZ7" i="4"/>
  <c r="BA18" i="2"/>
  <c r="AZ8" i="4"/>
  <c r="K29" i="4"/>
  <c r="AZ19" i="4" l="1"/>
  <c r="AZ7" i="5"/>
  <c r="AZ25" i="2"/>
  <c r="AZ8" i="5" s="1"/>
  <c r="BA20" i="2"/>
  <c r="BA15" i="4" s="1"/>
  <c r="K36" i="6"/>
  <c r="K37" i="6" s="1"/>
  <c r="K39" i="6" s="1"/>
  <c r="K30" i="4"/>
  <c r="AZ8" i="7" l="1"/>
  <c r="BA23" i="2"/>
  <c r="BA6" i="5" s="1"/>
  <c r="K41" i="6"/>
  <c r="K23" i="7" s="1"/>
  <c r="K33" i="4"/>
  <c r="K5" i="7"/>
  <c r="BA24" i="2" l="1"/>
  <c r="BB18" i="2"/>
  <c r="BA7" i="4"/>
  <c r="BA8" i="4"/>
  <c r="K43" i="6"/>
  <c r="K44" i="6" s="1"/>
  <c r="K30" i="5"/>
  <c r="K31" i="5" s="1"/>
  <c r="BA19" i="4" l="1"/>
  <c r="BA7" i="5"/>
  <c r="BA25" i="2"/>
  <c r="BB20" i="2"/>
  <c r="BB15" i="4" s="1"/>
  <c r="K46" i="6"/>
  <c r="K45" i="6"/>
  <c r="BA8" i="5" l="1"/>
  <c r="BA8" i="7"/>
  <c r="BB23" i="2"/>
  <c r="BB6" i="5" s="1"/>
  <c r="L18" i="6"/>
  <c r="L19" i="6" s="1"/>
  <c r="L26" i="6" s="1"/>
  <c r="L5" i="6"/>
  <c r="K5" i="5"/>
  <c r="K23" i="5"/>
  <c r="BB7" i="4" l="1"/>
  <c r="BC18" i="2"/>
  <c r="BB24" i="2"/>
  <c r="BB8" i="4"/>
  <c r="K20" i="7"/>
  <c r="K9" i="5"/>
  <c r="L11" i="4"/>
  <c r="L12" i="4" s="1"/>
  <c r="L14" i="4" s="1"/>
  <c r="K24" i="5"/>
  <c r="K26" i="5" s="1"/>
  <c r="BB19" i="4" l="1"/>
  <c r="BB7" i="5"/>
  <c r="BB25" i="2"/>
  <c r="BC20" i="2"/>
  <c r="BC15" i="4" s="1"/>
  <c r="L24" i="4"/>
  <c r="BB8" i="5" l="1"/>
  <c r="BB8" i="7"/>
  <c r="BC23" i="2"/>
  <c r="BC6" i="5" s="1"/>
  <c r="L29" i="4"/>
  <c r="BC24" i="2" l="1"/>
  <c r="BC7" i="4"/>
  <c r="BD18" i="2"/>
  <c r="BC8" i="4"/>
  <c r="L30" i="4"/>
  <c r="L33" i="4" s="1"/>
  <c r="BC19" i="4" l="1"/>
  <c r="BC7" i="5"/>
  <c r="BC25" i="2"/>
  <c r="BC8" i="5" s="1"/>
  <c r="BD20" i="2"/>
  <c r="BD15" i="4" s="1"/>
  <c r="L5" i="7"/>
  <c r="L36" i="6"/>
  <c r="BC8" i="7" l="1"/>
  <c r="BD23" i="2"/>
  <c r="BD6" i="5" s="1"/>
  <c r="L37" i="6"/>
  <c r="L39" i="6" s="1"/>
  <c r="L30" i="5"/>
  <c r="L31" i="5" s="1"/>
  <c r="BD24" i="2" l="1"/>
  <c r="BD8" i="4"/>
  <c r="BE18" i="2"/>
  <c r="BD7" i="4"/>
  <c r="L41" i="6"/>
  <c r="L43" i="6" s="1"/>
  <c r="BD19" i="4" l="1"/>
  <c r="BD7" i="5"/>
  <c r="BD25" i="2"/>
  <c r="BE20" i="2"/>
  <c r="BE15" i="4" s="1"/>
  <c r="L44" i="6"/>
  <c r="L46" i="6" s="1"/>
  <c r="L23" i="7"/>
  <c r="BD8" i="5" l="1"/>
  <c r="BD8" i="7"/>
  <c r="BE23" i="2"/>
  <c r="L45" i="6"/>
  <c r="M5" i="6" s="1"/>
  <c r="M18" i="6"/>
  <c r="BF18" i="2" l="1"/>
  <c r="H18" i="2" s="1"/>
  <c r="BE6" i="5"/>
  <c r="BE8" i="4"/>
  <c r="BE7" i="4"/>
  <c r="BE24" i="2"/>
  <c r="L5" i="5"/>
  <c r="L9" i="5" s="1"/>
  <c r="K20" i="5"/>
  <c r="K33" i="5" s="1"/>
  <c r="L23" i="5"/>
  <c r="BF20" i="2" l="1"/>
  <c r="BF15" i="4" s="1"/>
  <c r="H15" i="4" s="1"/>
  <c r="BE19" i="4"/>
  <c r="BE7" i="5"/>
  <c r="BE25" i="2"/>
  <c r="BE8" i="5" s="1"/>
  <c r="L20" i="7"/>
  <c r="M11" i="4"/>
  <c r="M12" i="4" s="1"/>
  <c r="L24" i="5"/>
  <c r="L26" i="5" s="1"/>
  <c r="M19" i="6"/>
  <c r="M26" i="6" s="1"/>
  <c r="BF23" i="2" l="1"/>
  <c r="BF8" i="4" s="1"/>
  <c r="BE8" i="7"/>
  <c r="M14" i="4"/>
  <c r="M24" i="4" s="1"/>
  <c r="BF7" i="4" l="1"/>
  <c r="BG18" i="2"/>
  <c r="BG20" i="2" s="1"/>
  <c r="BG15" i="4" s="1"/>
  <c r="H23" i="2"/>
  <c r="H6" i="5" s="1"/>
  <c r="BF24" i="2"/>
  <c r="BF25" i="2" s="1"/>
  <c r="BF8" i="5" s="1"/>
  <c r="H8" i="5" s="1"/>
  <c r="BF6" i="5"/>
  <c r="M29" i="4"/>
  <c r="M36" i="6" s="1"/>
  <c r="BG23" i="2" l="1"/>
  <c r="BG6" i="5" s="1"/>
  <c r="H24" i="2"/>
  <c r="H7" i="5" s="1"/>
  <c r="BF19" i="4"/>
  <c r="BF7" i="5"/>
  <c r="H25" i="2"/>
  <c r="AU9" i="1" s="1"/>
  <c r="BF8" i="7"/>
  <c r="M37" i="6"/>
  <c r="M39" i="6" s="1"/>
  <c r="M30" i="4"/>
  <c r="M33" i="4" s="1"/>
  <c r="BG8" i="4" l="1"/>
  <c r="BH18" i="2"/>
  <c r="BH20" i="2" s="1"/>
  <c r="BH15" i="4" s="1"/>
  <c r="BG7" i="4"/>
  <c r="BG24" i="2"/>
  <c r="BG19" i="4" s="1"/>
  <c r="N8" i="8"/>
  <c r="P8" i="8" s="1"/>
  <c r="M5" i="7"/>
  <c r="BG25" i="2" l="1"/>
  <c r="BG8" i="5" s="1"/>
  <c r="BG7" i="5"/>
  <c r="O8" i="8"/>
  <c r="BH23" i="2"/>
  <c r="M30" i="5"/>
  <c r="M41" i="6"/>
  <c r="BG8" i="7" l="1"/>
  <c r="BH7" i="4"/>
  <c r="BH6" i="5"/>
  <c r="M31" i="5"/>
  <c r="BI18" i="2"/>
  <c r="BI20" i="2" s="1"/>
  <c r="BI15" i="4" s="1"/>
  <c r="BH24" i="2"/>
  <c r="BH8" i="4"/>
  <c r="M43" i="6"/>
  <c r="M23" i="7"/>
  <c r="BH19" i="4" l="1"/>
  <c r="BH7" i="5"/>
  <c r="BH25" i="2"/>
  <c r="BI23" i="2"/>
  <c r="M44" i="6"/>
  <c r="BI8" i="4" l="1"/>
  <c r="BI6" i="5"/>
  <c r="BI7" i="4"/>
  <c r="BJ18" i="2"/>
  <c r="BJ20" i="2" s="1"/>
  <c r="BJ15" i="4" s="1"/>
  <c r="BH8" i="5"/>
  <c r="BH8" i="7"/>
  <c r="BI24" i="2"/>
  <c r="BI7" i="5" s="1"/>
  <c r="M46" i="6"/>
  <c r="N18" i="6" s="1"/>
  <c r="M45" i="6"/>
  <c r="BI19" i="4" l="1"/>
  <c r="BI25" i="2"/>
  <c r="BJ23" i="2"/>
  <c r="M5" i="5"/>
  <c r="N5" i="6"/>
  <c r="M23" i="5"/>
  <c r="BK18" i="2" l="1"/>
  <c r="BK20" i="2" s="1"/>
  <c r="BK15" i="4" s="1"/>
  <c r="BJ6" i="5"/>
  <c r="BI8" i="5"/>
  <c r="BI8" i="7"/>
  <c r="BJ8" i="4"/>
  <c r="BJ7" i="4"/>
  <c r="BJ24" i="2"/>
  <c r="BJ7" i="5" s="1"/>
  <c r="N19" i="6"/>
  <c r="N26" i="6" s="1"/>
  <c r="N11" i="4"/>
  <c r="N12" i="4" s="1"/>
  <c r="N14" i="4" s="1"/>
  <c r="N24" i="4" s="1"/>
  <c r="M24" i="5"/>
  <c r="M26" i="5" s="1"/>
  <c r="M20" i="7"/>
  <c r="BJ19" i="4" l="1"/>
  <c r="BJ25" i="2"/>
  <c r="BK23" i="2"/>
  <c r="BK6" i="5" s="1"/>
  <c r="N29" i="4"/>
  <c r="BJ8" i="5" l="1"/>
  <c r="BJ8" i="7"/>
  <c r="BK24" i="2"/>
  <c r="BK8" i="4"/>
  <c r="BL18" i="2"/>
  <c r="BK7" i="4"/>
  <c r="N36" i="6"/>
  <c r="N30" i="4"/>
  <c r="BK19" i="4" l="1"/>
  <c r="BK7" i="5"/>
  <c r="BK25" i="2"/>
  <c r="BL20" i="2"/>
  <c r="BL15" i="4" s="1"/>
  <c r="N37" i="6"/>
  <c r="N39" i="6" s="1"/>
  <c r="N5" i="7"/>
  <c r="N33" i="4"/>
  <c r="BK8" i="5" l="1"/>
  <c r="BK8" i="7"/>
  <c r="BL23" i="2"/>
  <c r="N41" i="6"/>
  <c r="N30" i="5"/>
  <c r="N31" i="5" s="1"/>
  <c r="BL24" i="2" l="1"/>
  <c r="BL25" i="2" s="1"/>
  <c r="BL6" i="5"/>
  <c r="BL7" i="4"/>
  <c r="BM18" i="2"/>
  <c r="BM20" i="2" s="1"/>
  <c r="BM15" i="4" s="1"/>
  <c r="BL8" i="4"/>
  <c r="N43" i="6"/>
  <c r="N23" i="7"/>
  <c r="BL19" i="4" l="1"/>
  <c r="BL7" i="5"/>
  <c r="BL8" i="5"/>
  <c r="BL8" i="7"/>
  <c r="BM23" i="2"/>
  <c r="N44" i="6"/>
  <c r="N45" i="6" s="1"/>
  <c r="BM7" i="4" l="1"/>
  <c r="BM6" i="5"/>
  <c r="BM8" i="4"/>
  <c r="BN18" i="2"/>
  <c r="BN20" i="2" s="1"/>
  <c r="BN15" i="4" s="1"/>
  <c r="BM24" i="2"/>
  <c r="BM7" i="5" s="1"/>
  <c r="N5" i="5"/>
  <c r="N9" i="5" s="1"/>
  <c r="N20" i="5" s="1"/>
  <c r="O5" i="6"/>
  <c r="N46" i="6"/>
  <c r="O18" i="6" s="1"/>
  <c r="BN23" i="2" l="1"/>
  <c r="BM19" i="4"/>
  <c r="BM25" i="2"/>
  <c r="O11" i="4"/>
  <c r="O12" i="4" s="1"/>
  <c r="N23" i="5"/>
  <c r="BN24" i="2" l="1"/>
  <c r="BN25" i="2" s="1"/>
  <c r="BN6" i="5"/>
  <c r="BN8" i="4"/>
  <c r="BO18" i="2"/>
  <c r="BO20" i="2" s="1"/>
  <c r="BO15" i="4" s="1"/>
  <c r="BN7" i="4"/>
  <c r="BM8" i="5"/>
  <c r="BM8" i="7"/>
  <c r="N24" i="5"/>
  <c r="N20" i="7"/>
  <c r="O19" i="6"/>
  <c r="O26" i="6" s="1"/>
  <c r="O14" i="4"/>
  <c r="O24" i="4" s="1"/>
  <c r="BN19" i="4" l="1"/>
  <c r="BN7" i="5"/>
  <c r="BN8" i="5"/>
  <c r="BN8" i="7"/>
  <c r="BO23" i="2"/>
  <c r="N26" i="5"/>
  <c r="N33" i="5" s="1"/>
  <c r="O29" i="4"/>
  <c r="O36" i="6" s="1"/>
  <c r="BP18" i="2" l="1"/>
  <c r="BP20" i="2" s="1"/>
  <c r="BP15" i="4" s="1"/>
  <c r="BO6" i="5"/>
  <c r="BO8" i="4"/>
  <c r="BO24" i="2"/>
  <c r="BO7" i="4"/>
  <c r="O37" i="6"/>
  <c r="O39" i="6" s="1"/>
  <c r="O30" i="4"/>
  <c r="BO19" i="4" l="1"/>
  <c r="BO7" i="5"/>
  <c r="BO25" i="2"/>
  <c r="BP23" i="2"/>
  <c r="O5" i="7"/>
  <c r="O33" i="4"/>
  <c r="BP24" i="2" l="1"/>
  <c r="BP7" i="5" s="1"/>
  <c r="BP6" i="5"/>
  <c r="BQ18" i="2"/>
  <c r="BQ20" i="2" s="1"/>
  <c r="BQ15" i="4" s="1"/>
  <c r="BP8" i="4"/>
  <c r="BO8" i="5"/>
  <c r="BO8" i="7"/>
  <c r="BP7" i="4"/>
  <c r="O30" i="5"/>
  <c r="O31" i="5" s="1"/>
  <c r="BP25" i="2" l="1"/>
  <c r="BP8" i="5" s="1"/>
  <c r="BP19" i="4"/>
  <c r="BQ23" i="2"/>
  <c r="O41" i="6"/>
  <c r="BP8" i="7" l="1"/>
  <c r="BQ7" i="4"/>
  <c r="BQ6" i="5"/>
  <c r="BQ8" i="4"/>
  <c r="BR18" i="2"/>
  <c r="I18" i="2" s="1"/>
  <c r="BQ24" i="2"/>
  <c r="O23" i="7"/>
  <c r="O43" i="6"/>
  <c r="BQ19" i="4" l="1"/>
  <c r="BQ7" i="5"/>
  <c r="BR20" i="2"/>
  <c r="BR15" i="4" s="1"/>
  <c r="I15" i="4" s="1"/>
  <c r="BQ25" i="2"/>
  <c r="BQ8" i="5" s="1"/>
  <c r="O44" i="6"/>
  <c r="O45" i="6" s="1"/>
  <c r="BQ8" i="7" l="1"/>
  <c r="BR23" i="2"/>
  <c r="P5" i="6"/>
  <c r="O5" i="5"/>
  <c r="O46" i="6"/>
  <c r="P18" i="6" s="1"/>
  <c r="BR8" i="4" l="1"/>
  <c r="BR6" i="5"/>
  <c r="BR24" i="2"/>
  <c r="I23" i="2"/>
  <c r="I6" i="5" s="1"/>
  <c r="BR7" i="4"/>
  <c r="P11" i="4"/>
  <c r="P12" i="4" s="1"/>
  <c r="O23" i="5"/>
  <c r="BR25" i="2" l="1"/>
  <c r="I25" i="2" s="1"/>
  <c r="AV9" i="1" s="1"/>
  <c r="BR7" i="5"/>
  <c r="BR19" i="4"/>
  <c r="I24" i="2"/>
  <c r="I7" i="5" s="1"/>
  <c r="O24" i="5"/>
  <c r="O26" i="5" s="1"/>
  <c r="O20" i="7"/>
  <c r="P19" i="6"/>
  <c r="P26" i="6" s="1"/>
  <c r="P14" i="4"/>
  <c r="P24" i="4" s="1"/>
  <c r="BR8" i="5" l="1"/>
  <c r="I8" i="5" s="1"/>
  <c r="BR8" i="7"/>
  <c r="R8" i="8"/>
  <c r="T8" i="8" s="1"/>
  <c r="P29" i="4"/>
  <c r="S8" i="8" l="1"/>
  <c r="P36" i="6"/>
  <c r="P37" i="6" s="1"/>
  <c r="P39" i="6" s="1"/>
  <c r="P41" i="6" l="1"/>
  <c r="P30" i="4"/>
  <c r="P43" i="6" l="1"/>
  <c r="P44" i="6" s="1"/>
  <c r="P46" i="6" s="1"/>
  <c r="Q18" i="6" s="1"/>
  <c r="P23" i="7"/>
  <c r="P5" i="7"/>
  <c r="P9" i="7" s="1"/>
  <c r="P33" i="4"/>
  <c r="Q11" i="4" l="1"/>
  <c r="Q12" i="4" s="1"/>
  <c r="P23" i="5"/>
  <c r="P30" i="5"/>
  <c r="P31" i="5" s="1"/>
  <c r="P45" i="6"/>
  <c r="P24" i="5" l="1"/>
  <c r="P26" i="5" s="1"/>
  <c r="P20" i="7"/>
  <c r="P5" i="5"/>
  <c r="Q5" i="6"/>
  <c r="Q14" i="4"/>
  <c r="Q19" i="6"/>
  <c r="Q26" i="6" s="1"/>
  <c r="Q24" i="4" l="1"/>
  <c r="Q29" i="4" s="1"/>
  <c r="Q36" i="6" s="1"/>
  <c r="Q37" i="6" s="1"/>
  <c r="Q39" i="6" s="1"/>
  <c r="P22" i="7"/>
  <c r="P24" i="7" l="1"/>
  <c r="P27" i="7"/>
  <c r="Q41" i="6"/>
  <c r="Q30" i="4"/>
  <c r="Q33" i="4" s="1"/>
  <c r="Q23" i="7" l="1"/>
  <c r="Q43" i="6"/>
  <c r="Q44" i="6" s="1"/>
  <c r="Q46" i="6" s="1"/>
  <c r="R18" i="6" s="1"/>
  <c r="Q5" i="7"/>
  <c r="R11" i="4" l="1"/>
  <c r="R12" i="4" s="1"/>
  <c r="R19" i="6"/>
  <c r="Q45" i="6"/>
  <c r="Q23" i="5"/>
  <c r="Q30" i="5"/>
  <c r="Q31" i="5" s="1"/>
  <c r="Q24" i="5" l="1"/>
  <c r="Q26" i="5" s="1"/>
  <c r="Q20" i="7"/>
  <c r="R26" i="6"/>
  <c r="R14" i="4"/>
  <c r="Q5" i="5"/>
  <c r="R5" i="6"/>
  <c r="R24" i="4" l="1"/>
  <c r="R29" i="4" s="1"/>
  <c r="R36" i="6" s="1"/>
  <c r="R37" i="6" s="1"/>
  <c r="R39" i="6" s="1"/>
  <c r="R41" i="6" l="1"/>
  <c r="R30" i="4"/>
  <c r="R23" i="7" l="1"/>
  <c r="R43" i="6"/>
  <c r="R44" i="6" s="1"/>
  <c r="R46" i="6" s="1"/>
  <c r="S18" i="6" s="1"/>
  <c r="R5" i="7"/>
  <c r="R33" i="4"/>
  <c r="S11" i="4" l="1"/>
  <c r="S12" i="4" s="1"/>
  <c r="R23" i="5"/>
  <c r="R30" i="5"/>
  <c r="R31" i="5" s="1"/>
  <c r="R45" i="6"/>
  <c r="R24" i="5" l="1"/>
  <c r="R26" i="5" s="1"/>
  <c r="R20" i="7"/>
  <c r="R5" i="5"/>
  <c r="S5" i="6"/>
  <c r="S19" i="6"/>
  <c r="S26" i="6" s="1"/>
  <c r="S14" i="4"/>
  <c r="S24" i="4" l="1"/>
  <c r="S29" i="4" s="1"/>
  <c r="S36" i="6" s="1"/>
  <c r="S37" i="6" s="1"/>
  <c r="S39" i="6" s="1"/>
  <c r="S41" i="6" l="1"/>
  <c r="S30" i="4"/>
  <c r="S23" i="7" l="1"/>
  <c r="S43" i="6"/>
  <c r="S44" i="6" s="1"/>
  <c r="S46" i="6" s="1"/>
  <c r="T18" i="6" s="1"/>
  <c r="S5" i="7"/>
  <c r="S33" i="4"/>
  <c r="T11" i="4" l="1"/>
  <c r="T12" i="4" s="1"/>
  <c r="S23" i="5"/>
  <c r="S30" i="5"/>
  <c r="S31" i="5" s="1"/>
  <c r="S45" i="6"/>
  <c r="S24" i="5" l="1"/>
  <c r="S26" i="5" s="1"/>
  <c r="S20" i="7"/>
  <c r="S5" i="5"/>
  <c r="T5" i="6"/>
  <c r="T19" i="6"/>
  <c r="T26" i="6" s="1"/>
  <c r="T14" i="4"/>
  <c r="T24" i="4" l="1"/>
  <c r="T29" i="4" s="1"/>
  <c r="T36" i="6" s="1"/>
  <c r="T37" i="6" s="1"/>
  <c r="T39" i="6" s="1"/>
  <c r="T41" i="6" l="1"/>
  <c r="T30" i="4"/>
  <c r="T43" i="6" l="1"/>
  <c r="T44" i="6" s="1"/>
  <c r="T46" i="6" s="1"/>
  <c r="U18" i="6" s="1"/>
  <c r="T23" i="7"/>
  <c r="T5" i="7"/>
  <c r="T33" i="4"/>
  <c r="U11" i="4" l="1"/>
  <c r="U12" i="4" s="1"/>
  <c r="T23" i="5"/>
  <c r="T45" i="6"/>
  <c r="T30" i="5"/>
  <c r="T31" i="5" s="1"/>
  <c r="T24" i="5" l="1"/>
  <c r="T26" i="5" s="1"/>
  <c r="T20" i="7"/>
  <c r="U19" i="6"/>
  <c r="U26" i="6" s="1"/>
  <c r="U14" i="4"/>
  <c r="T5" i="5"/>
  <c r="U5" i="6"/>
  <c r="U24" i="4" l="1"/>
  <c r="U29" i="4" s="1"/>
  <c r="U36" i="6" s="1"/>
  <c r="U37" i="6" s="1"/>
  <c r="U39" i="6" s="1"/>
  <c r="U41" i="6" l="1"/>
  <c r="U30" i="4"/>
  <c r="U5" i="7" s="1"/>
  <c r="U43" i="6" l="1"/>
  <c r="U44" i="6" s="1"/>
  <c r="U46" i="6" s="1"/>
  <c r="U23" i="7"/>
  <c r="U33" i="4"/>
  <c r="U30" i="5" s="1"/>
  <c r="U31" i="5" s="1"/>
  <c r="V18" i="6" l="1"/>
  <c r="V11" i="4" s="1"/>
  <c r="V12" i="4" s="1"/>
  <c r="U45" i="6"/>
  <c r="U23" i="5"/>
  <c r="E18" i="6" l="1"/>
  <c r="U24" i="5"/>
  <c r="U26" i="5" s="1"/>
  <c r="U20" i="7"/>
  <c r="V19" i="6"/>
  <c r="V26" i="6" s="1"/>
  <c r="E11" i="4"/>
  <c r="V5" i="6"/>
  <c r="E5" i="6" s="1"/>
  <c r="U5" i="5"/>
  <c r="V14" i="4" l="1"/>
  <c r="V24" i="4" s="1"/>
  <c r="E12" i="4"/>
  <c r="E19" i="6"/>
  <c r="E26" i="6" l="1"/>
  <c r="D10" i="8" s="1"/>
  <c r="V29" i="4"/>
  <c r="E14" i="4"/>
  <c r="D18" i="8" l="1"/>
  <c r="AR17" i="1"/>
  <c r="V30" i="4"/>
  <c r="E24" i="4"/>
  <c r="V5" i="7" l="1"/>
  <c r="E30" i="4"/>
  <c r="V33" i="4"/>
  <c r="E33" i="4" s="1"/>
  <c r="V36" i="6"/>
  <c r="E29" i="4"/>
  <c r="V37" i="6" l="1"/>
  <c r="V39" i="6" s="1"/>
  <c r="E36" i="6"/>
  <c r="D22" i="8"/>
  <c r="AR20" i="1"/>
  <c r="V30" i="5"/>
  <c r="E30" i="5" s="1"/>
  <c r="AR27" i="1" s="1"/>
  <c r="E5" i="7"/>
  <c r="V31" i="5" l="1"/>
  <c r="E39" i="6"/>
  <c r="V41" i="6"/>
  <c r="E31" i="5" l="1"/>
  <c r="AR24" i="1" s="1"/>
  <c r="D11" i="8"/>
  <c r="V23" i="7"/>
  <c r="V43" i="6"/>
  <c r="E41" i="6"/>
  <c r="D26" i="8" l="1"/>
  <c r="E23" i="7"/>
  <c r="E43" i="6"/>
  <c r="V44" i="6"/>
  <c r="E44" i="6" l="1"/>
  <c r="V46" i="6"/>
  <c r="W18" i="6" s="1"/>
  <c r="V45" i="6"/>
  <c r="W11" i="4" l="1"/>
  <c r="W12" i="4" s="1"/>
  <c r="W5" i="6"/>
  <c r="V5" i="5"/>
  <c r="E45" i="6"/>
  <c r="V23" i="5"/>
  <c r="E23" i="5" s="1"/>
  <c r="E46" i="6"/>
  <c r="D12" i="8"/>
  <c r="AR11" i="1"/>
  <c r="V20" i="7" l="1"/>
  <c r="W19" i="6"/>
  <c r="W26" i="6" s="1"/>
  <c r="AR12" i="1"/>
  <c r="D13" i="8"/>
  <c r="V24" i="5"/>
  <c r="E24" i="5" s="1"/>
  <c r="AR26" i="1" s="1"/>
  <c r="E5" i="5"/>
  <c r="E20" i="7" l="1"/>
  <c r="V26" i="5"/>
  <c r="E26" i="5" s="1"/>
  <c r="W14" i="4"/>
  <c r="W24" i="4" s="1"/>
  <c r="AR28" i="1" l="1"/>
  <c r="D30" i="8"/>
  <c r="D25" i="8"/>
  <c r="W29" i="4"/>
  <c r="AR23" i="1" l="1"/>
  <c r="W30" i="4"/>
  <c r="W5" i="7" l="1"/>
  <c r="W33" i="4"/>
  <c r="W36" i="6"/>
  <c r="W37" i="6" l="1"/>
  <c r="W39" i="6" s="1"/>
  <c r="W30" i="5"/>
  <c r="W31" i="5" s="1"/>
  <c r="W41" i="6" l="1"/>
  <c r="W23" i="7" l="1"/>
  <c r="W43" i="6"/>
  <c r="W44" i="6" l="1"/>
  <c r="W46" i="6" l="1"/>
  <c r="X18" i="6" s="1"/>
  <c r="W45" i="6"/>
  <c r="X11" i="4" l="1"/>
  <c r="X12" i="4" s="1"/>
  <c r="X5" i="6"/>
  <c r="W5" i="5"/>
  <c r="W23" i="5"/>
  <c r="W24" i="5" l="1"/>
  <c r="W26" i="5" s="1"/>
  <c r="W20" i="7"/>
  <c r="X19" i="6"/>
  <c r="X26" i="6" s="1"/>
  <c r="X14" i="4" l="1"/>
  <c r="X24" i="4" s="1"/>
  <c r="X29" i="4" l="1"/>
  <c r="X36" i="6" l="1"/>
  <c r="X30" i="4"/>
  <c r="X37" i="6" l="1"/>
  <c r="X39" i="6" s="1"/>
  <c r="X5" i="7"/>
  <c r="X33" i="4"/>
  <c r="X30" i="5" l="1"/>
  <c r="X31" i="5" s="1"/>
  <c r="X41" i="6"/>
  <c r="X43" i="6" l="1"/>
  <c r="X23" i="7"/>
  <c r="X44" i="6" l="1"/>
  <c r="X46" i="6" l="1"/>
  <c r="Y18" i="6" s="1"/>
  <c r="X45" i="6"/>
  <c r="Y11" i="4" l="1"/>
  <c r="Y12" i="4" s="1"/>
  <c r="Y5" i="6"/>
  <c r="X5" i="5"/>
  <c r="X23" i="5"/>
  <c r="X24" i="5" l="1"/>
  <c r="X26" i="5" s="1"/>
  <c r="X20" i="7"/>
  <c r="Y19" i="6"/>
  <c r="Y26" i="6" s="1"/>
  <c r="Y14" i="4" l="1"/>
  <c r="Y24" i="4" s="1"/>
  <c r="Y29" i="4" l="1"/>
  <c r="Y30" i="4" l="1"/>
  <c r="Y5" i="7" l="1"/>
  <c r="Y33" i="4"/>
  <c r="Y36" i="6"/>
  <c r="Y37" i="6" l="1"/>
  <c r="Y39" i="6" s="1"/>
  <c r="Y30" i="5"/>
  <c r="Y31" i="5" s="1"/>
  <c r="Y41" i="6" l="1"/>
  <c r="Y23" i="7" l="1"/>
  <c r="Y43" i="6"/>
  <c r="Y44" i="6" l="1"/>
  <c r="Y46" i="6" l="1"/>
  <c r="Z18" i="6" s="1"/>
  <c r="Y45" i="6"/>
  <c r="Z11" i="4" l="1"/>
  <c r="Z12" i="4" s="1"/>
  <c r="Z5" i="6"/>
  <c r="Y5" i="5"/>
  <c r="Y23" i="5"/>
  <c r="Y24" i="5" l="1"/>
  <c r="Y26" i="5" s="1"/>
  <c r="Y20" i="7"/>
  <c r="Z19" i="6"/>
  <c r="Z26" i="6" s="1"/>
  <c r="Z14" i="4" l="1"/>
  <c r="Z24" i="4" s="1"/>
  <c r="Z29" i="4" l="1"/>
  <c r="Z36" i="6" l="1"/>
  <c r="Z30" i="4"/>
  <c r="Z37" i="6" l="1"/>
  <c r="Z39" i="6" s="1"/>
  <c r="Z5" i="7"/>
  <c r="Z33" i="4"/>
  <c r="Z41" i="6" l="1"/>
  <c r="Z30" i="5"/>
  <c r="Z31" i="5" s="1"/>
  <c r="Z23" i="7" l="1"/>
  <c r="Z43" i="6"/>
  <c r="Z44" i="6" l="1"/>
  <c r="Z46" i="6" l="1"/>
  <c r="AA18" i="6" s="1"/>
  <c r="Z45" i="6"/>
  <c r="AA11" i="4" l="1"/>
  <c r="AA12" i="4" s="1"/>
  <c r="Z5" i="5"/>
  <c r="AA5" i="6"/>
  <c r="Z23" i="5"/>
  <c r="Z24" i="5" l="1"/>
  <c r="Z26" i="5" s="1"/>
  <c r="Z20" i="7"/>
  <c r="AA19" i="6"/>
  <c r="AA26" i="6" s="1"/>
  <c r="AA14" i="4" l="1"/>
  <c r="AA24" i="4" s="1"/>
  <c r="AA29" i="4" l="1"/>
  <c r="AA36" i="6" l="1"/>
  <c r="AA30" i="4"/>
  <c r="AA37" i="6" l="1"/>
  <c r="AA39" i="6" s="1"/>
  <c r="AA5" i="7"/>
  <c r="AA33" i="4"/>
  <c r="AA41" i="6" l="1"/>
  <c r="AA30" i="5"/>
  <c r="AA31" i="5" s="1"/>
  <c r="AA23" i="7" l="1"/>
  <c r="AA43" i="6"/>
  <c r="AA44" i="6" l="1"/>
  <c r="AA45" i="6" s="1"/>
  <c r="AB5" i="6" l="1"/>
  <c r="AA5" i="5"/>
  <c r="AA46" i="6"/>
  <c r="AB18" i="6" s="1"/>
  <c r="AB11" i="4" l="1"/>
  <c r="AB12" i="4" s="1"/>
  <c r="AA23" i="5"/>
  <c r="AA24" i="5" l="1"/>
  <c r="AA26" i="5" s="1"/>
  <c r="AA20" i="7"/>
  <c r="AB14" i="4"/>
  <c r="AB19" i="6"/>
  <c r="AB26" i="6" s="1"/>
  <c r="AB24" i="4" l="1"/>
  <c r="AB29" i="4" s="1"/>
  <c r="AB36" i="6" s="1"/>
  <c r="AB37" i="6" s="1"/>
  <c r="AB39" i="6" s="1"/>
  <c r="AB41" i="6" l="1"/>
  <c r="AB30" i="4"/>
  <c r="AB43" i="6" l="1"/>
  <c r="AB44" i="6" s="1"/>
  <c r="AB46" i="6" s="1"/>
  <c r="AC18" i="6" s="1"/>
  <c r="AB23" i="7"/>
  <c r="AB5" i="7"/>
  <c r="AB33" i="4"/>
  <c r="AC11" i="4" l="1"/>
  <c r="AC12" i="4" s="1"/>
  <c r="AB23" i="5"/>
  <c r="AB45" i="6"/>
  <c r="AB30" i="5"/>
  <c r="AB31" i="5" s="1"/>
  <c r="AB24" i="5" l="1"/>
  <c r="AB26" i="5" s="1"/>
  <c r="AB20" i="7"/>
  <c r="AC14" i="4"/>
  <c r="AC19" i="6"/>
  <c r="AC26" i="6" s="1"/>
  <c r="AB5" i="5"/>
  <c r="AC5" i="6"/>
  <c r="AC24" i="4" l="1"/>
  <c r="AC29" i="4" s="1"/>
  <c r="AC36" i="6" s="1"/>
  <c r="AC37" i="6" s="1"/>
  <c r="AC39" i="6" s="1"/>
  <c r="AC41" i="6" l="1"/>
  <c r="AC30" i="4"/>
  <c r="AC43" i="6" l="1"/>
  <c r="AC44" i="6" s="1"/>
  <c r="AC46" i="6" s="1"/>
  <c r="AD18" i="6" s="1"/>
  <c r="AC23" i="7"/>
  <c r="AC5" i="7"/>
  <c r="AC33" i="4"/>
  <c r="AD11" i="4" l="1"/>
  <c r="AD12" i="4" s="1"/>
  <c r="AC23" i="5"/>
  <c r="AC45" i="6"/>
  <c r="AC30" i="5"/>
  <c r="AC31" i="5" s="1"/>
  <c r="AC24" i="5" l="1"/>
  <c r="AC26" i="5" s="1"/>
  <c r="AC20" i="7"/>
  <c r="AD5" i="6"/>
  <c r="AC5" i="5"/>
  <c r="AD19" i="6"/>
  <c r="AD26" i="6" s="1"/>
  <c r="AD14" i="4"/>
  <c r="AD24" i="4" l="1"/>
  <c r="AD29" i="4" s="1"/>
  <c r="AD36" i="6" s="1"/>
  <c r="AD37" i="6" s="1"/>
  <c r="AD39" i="6" s="1"/>
  <c r="AD41" i="6" l="1"/>
  <c r="AD30" i="4"/>
  <c r="AD23" i="7" l="1"/>
  <c r="AD43" i="6"/>
  <c r="AD44" i="6" s="1"/>
  <c r="AD46" i="6" s="1"/>
  <c r="AE18" i="6" s="1"/>
  <c r="AD5" i="7"/>
  <c r="AD33" i="4"/>
  <c r="AE11" i="4" l="1"/>
  <c r="AE12" i="4" s="1"/>
  <c r="AD30" i="5"/>
  <c r="AD31" i="5" s="1"/>
  <c r="AD23" i="5"/>
  <c r="AD45" i="6"/>
  <c r="AD24" i="5" l="1"/>
  <c r="AD26" i="5" s="1"/>
  <c r="AD20" i="7"/>
  <c r="AD5" i="5"/>
  <c r="AE5" i="6"/>
  <c r="AE14" i="4"/>
  <c r="AE19" i="6"/>
  <c r="AE26" i="6" s="1"/>
  <c r="AE24" i="4" l="1"/>
  <c r="AE29" i="4" s="1"/>
  <c r="AE36" i="6" s="1"/>
  <c r="AE37" i="6" s="1"/>
  <c r="AE39" i="6" s="1"/>
  <c r="AE41" i="6" l="1"/>
  <c r="AE30" i="4"/>
  <c r="AE43" i="6" l="1"/>
  <c r="AE44" i="6" s="1"/>
  <c r="AE46" i="6" s="1"/>
  <c r="AF18" i="6" s="1"/>
  <c r="AE23" i="7"/>
  <c r="AE5" i="7"/>
  <c r="AE33" i="4"/>
  <c r="AF11" i="4" l="1"/>
  <c r="AF12" i="4" s="1"/>
  <c r="AE45" i="6"/>
  <c r="AE5" i="5" s="1"/>
  <c r="AE23" i="5"/>
  <c r="AE30" i="5"/>
  <c r="AE31" i="5" s="1"/>
  <c r="AE24" i="5" l="1"/>
  <c r="AE26" i="5" s="1"/>
  <c r="AE20" i="7"/>
  <c r="AF5" i="6"/>
  <c r="AF14" i="4"/>
  <c r="AF19" i="6"/>
  <c r="AF26" i="6" s="1"/>
  <c r="AF24" i="4" l="1"/>
  <c r="AF29" i="4" s="1"/>
  <c r="AF36" i="6" s="1"/>
  <c r="AF37" i="6" s="1"/>
  <c r="AF39" i="6" s="1"/>
  <c r="AF41" i="6" l="1"/>
  <c r="AF30" i="4"/>
  <c r="AF33" i="4" s="1"/>
  <c r="AF43" i="6" l="1"/>
  <c r="AF44" i="6" s="1"/>
  <c r="AF46" i="6" s="1"/>
  <c r="AG18" i="6" s="1"/>
  <c r="AF23" i="7"/>
  <c r="AF5" i="7"/>
  <c r="AF30" i="5"/>
  <c r="AF31" i="5" s="1"/>
  <c r="AG11" i="4" l="1"/>
  <c r="AG12" i="4" s="1"/>
  <c r="AF45" i="6"/>
  <c r="AG5" i="6" s="1"/>
  <c r="AF23" i="5"/>
  <c r="AF24" i="5" l="1"/>
  <c r="AF26" i="5" s="1"/>
  <c r="AF20" i="7"/>
  <c r="AF5" i="5"/>
  <c r="AG19" i="6"/>
  <c r="AG26" i="6" s="1"/>
  <c r="AG14" i="4"/>
  <c r="AG24" i="4" l="1"/>
  <c r="AG29" i="4" s="1"/>
  <c r="AG36" i="6" s="1"/>
  <c r="AG37" i="6" s="1"/>
  <c r="AG39" i="6" s="1"/>
  <c r="AG41" i="6" l="1"/>
  <c r="AG30" i="4"/>
  <c r="AG5" i="7" s="1"/>
  <c r="AG43" i="6" l="1"/>
  <c r="AG44" i="6" s="1"/>
  <c r="AG46" i="6" s="1"/>
  <c r="AG23" i="7"/>
  <c r="AG33" i="4"/>
  <c r="AG30" i="5" s="1"/>
  <c r="AG31" i="5" s="1"/>
  <c r="AH18" i="6" l="1"/>
  <c r="F18" i="6" s="1"/>
  <c r="AG45" i="6"/>
  <c r="AG23" i="5"/>
  <c r="AH11" i="4" l="1"/>
  <c r="AH12" i="4" s="1"/>
  <c r="AG24" i="5"/>
  <c r="AG26" i="5" s="1"/>
  <c r="AG20" i="7"/>
  <c r="AH19" i="6"/>
  <c r="AH26" i="6" s="1"/>
  <c r="AH5" i="6"/>
  <c r="F5" i="6" s="1"/>
  <c r="AG5" i="5"/>
  <c r="F11" i="4" l="1"/>
  <c r="AH14" i="4"/>
  <c r="AH24" i="4" s="1"/>
  <c r="F12" i="4"/>
  <c r="F19" i="6"/>
  <c r="F26" i="6" l="1"/>
  <c r="F10" i="8" s="1"/>
  <c r="H10" i="8" s="1"/>
  <c r="AH29" i="4"/>
  <c r="F14" i="4"/>
  <c r="F18" i="8" l="1"/>
  <c r="H18" i="8" s="1"/>
  <c r="AS17" i="1"/>
  <c r="AH30" i="4"/>
  <c r="F24" i="4"/>
  <c r="G10" i="8"/>
  <c r="G18" i="8" l="1"/>
  <c r="AH5" i="7"/>
  <c r="F30" i="4"/>
  <c r="AH33" i="4"/>
  <c r="F33" i="4" s="1"/>
  <c r="AH36" i="6"/>
  <c r="F29" i="4"/>
  <c r="AH37" i="6" l="1"/>
  <c r="AH39" i="6" s="1"/>
  <c r="F36" i="6"/>
  <c r="AH30" i="5"/>
  <c r="F30" i="5" s="1"/>
  <c r="AS27" i="1" s="1"/>
  <c r="F22" i="8"/>
  <c r="H22" i="8" s="1"/>
  <c r="AS20" i="1"/>
  <c r="F5" i="7"/>
  <c r="G22" i="8" l="1"/>
  <c r="AH31" i="5"/>
  <c r="F39" i="6"/>
  <c r="AH41" i="6"/>
  <c r="F31" i="5" l="1"/>
  <c r="F26" i="8" s="1"/>
  <c r="H26" i="8" s="1"/>
  <c r="F11" i="8"/>
  <c r="AH43" i="6"/>
  <c r="AH23" i="7"/>
  <c r="F41" i="6"/>
  <c r="AS24" i="1" l="1"/>
  <c r="G11" i="8"/>
  <c r="H11" i="8"/>
  <c r="F23" i="7"/>
  <c r="G26" i="8"/>
  <c r="F43" i="6"/>
  <c r="AH44" i="6"/>
  <c r="F44" i="6" l="1"/>
  <c r="AH46" i="6"/>
  <c r="AI18" i="6" s="1"/>
  <c r="AH45" i="6"/>
  <c r="AI11" i="4" l="1"/>
  <c r="AI12" i="4" s="1"/>
  <c r="AH23" i="5"/>
  <c r="F23" i="5" s="1"/>
  <c r="F46" i="6"/>
  <c r="AI5" i="6"/>
  <c r="F45" i="6"/>
  <c r="AH5" i="5"/>
  <c r="F12" i="8"/>
  <c r="H12" i="8" s="1"/>
  <c r="AS11" i="1"/>
  <c r="AH20" i="7" l="1"/>
  <c r="G12" i="8"/>
  <c r="F5" i="5"/>
  <c r="AS12" i="1"/>
  <c r="F13" i="8"/>
  <c r="H13" i="8" s="1"/>
  <c r="AH24" i="5"/>
  <c r="F24" i="5" s="1"/>
  <c r="AS26" i="1" s="1"/>
  <c r="F20" i="7" l="1"/>
  <c r="G13" i="8"/>
  <c r="AH26" i="5"/>
  <c r="F26" i="5" s="1"/>
  <c r="AS28" i="1" l="1"/>
  <c r="F30" i="8"/>
  <c r="F25" i="8"/>
  <c r="H25" i="8" s="1"/>
  <c r="AS23" i="1"/>
  <c r="H30" i="8" l="1"/>
  <c r="G30" i="8"/>
  <c r="G25" i="8"/>
  <c r="AG9" i="5" l="1"/>
  <c r="AG20" i="5" s="1"/>
  <c r="AG33" i="5" s="1"/>
  <c r="AE9" i="7"/>
  <c r="AC9" i="5"/>
  <c r="AC20" i="5" s="1"/>
  <c r="AC33" i="5" s="1"/>
  <c r="Z9" i="5"/>
  <c r="Z20" i="5" s="1"/>
  <c r="Z33" i="5" s="1"/>
  <c r="Y9" i="5"/>
  <c r="X9" i="5"/>
  <c r="T9" i="5"/>
  <c r="P9" i="5"/>
  <c r="L20" i="5"/>
  <c r="L33" i="5" s="1"/>
  <c r="W9" i="5"/>
  <c r="V9" i="5"/>
  <c r="E9" i="5" s="1"/>
  <c r="V20" i="5" l="1"/>
  <c r="V33" i="5" s="1"/>
  <c r="X20" i="5"/>
  <c r="X33" i="5" s="1"/>
  <c r="Y20" i="5"/>
  <c r="Y33" i="5" s="1"/>
  <c r="T20" i="5"/>
  <c r="T33" i="5" s="1"/>
  <c r="W20" i="5"/>
  <c r="W33" i="5" s="1"/>
  <c r="P20" i="5"/>
  <c r="P33" i="5" s="1"/>
  <c r="AE22" i="7"/>
  <c r="R9" i="7"/>
  <c r="AC9" i="7"/>
  <c r="AG9" i="7"/>
  <c r="O9" i="7"/>
  <c r="O22" i="7" s="1"/>
  <c r="Z9" i="7"/>
  <c r="AH9" i="7"/>
  <c r="V9" i="7"/>
  <c r="M9" i="7"/>
  <c r="M22" i="7" s="1"/>
  <c r="M9" i="5"/>
  <c r="M20" i="5" s="1"/>
  <c r="M33" i="5" s="1"/>
  <c r="N9" i="7"/>
  <c r="N22" i="7" s="1"/>
  <c r="S9" i="5"/>
  <c r="S9" i="7"/>
  <c r="T9" i="7"/>
  <c r="X9" i="7"/>
  <c r="Q9" i="5"/>
  <c r="Q9" i="7"/>
  <c r="AH9" i="5"/>
  <c r="F9" i="5" s="1"/>
  <c r="AA9" i="7"/>
  <c r="AA9" i="5"/>
  <c r="AA20" i="5" s="1"/>
  <c r="AA33" i="5" s="1"/>
  <c r="AF9" i="5"/>
  <c r="AF20" i="5" s="1"/>
  <c r="AF33" i="5" s="1"/>
  <c r="AF9" i="7"/>
  <c r="U9" i="5"/>
  <c r="U9" i="7"/>
  <c r="Y9" i="7"/>
  <c r="O9" i="5"/>
  <c r="AD9" i="7"/>
  <c r="AD9" i="5"/>
  <c r="AD20" i="5" s="1"/>
  <c r="AD33" i="5" s="1"/>
  <c r="L9" i="7"/>
  <c r="L22" i="7" s="1"/>
  <c r="R9" i="5"/>
  <c r="AB9" i="7"/>
  <c r="AB9" i="5"/>
  <c r="AB20" i="5" s="1"/>
  <c r="AB33" i="5" s="1"/>
  <c r="AE9" i="5"/>
  <c r="AE20" i="5" s="1"/>
  <c r="AE33" i="5" s="1"/>
  <c r="E20" i="5" l="1"/>
  <c r="N27" i="7"/>
  <c r="M24" i="7"/>
  <c r="M27" i="7"/>
  <c r="AE24" i="7"/>
  <c r="AE27" i="7"/>
  <c r="L24" i="7"/>
  <c r="L27" i="7"/>
  <c r="O24" i="7"/>
  <c r="O27" i="7"/>
  <c r="N24" i="7"/>
  <c r="S20" i="5"/>
  <c r="S33" i="5" s="1"/>
  <c r="O20" i="5"/>
  <c r="O33" i="5" s="1"/>
  <c r="R20" i="5"/>
  <c r="R33" i="5" s="1"/>
  <c r="U20" i="5"/>
  <c r="U33" i="5" s="1"/>
  <c r="Q20" i="5"/>
  <c r="Q33" i="5" s="1"/>
  <c r="AA22" i="7"/>
  <c r="Z22" i="7"/>
  <c r="AG22" i="7"/>
  <c r="U22" i="7"/>
  <c r="AB22" i="7"/>
  <c r="X22" i="7"/>
  <c r="AC22" i="7"/>
  <c r="Q22" i="7"/>
  <c r="T22" i="7"/>
  <c r="V22" i="7"/>
  <c r="Y22" i="7"/>
  <c r="R22" i="7"/>
  <c r="AF22" i="7"/>
  <c r="AD22" i="7"/>
  <c r="S22" i="7"/>
  <c r="AH22" i="7"/>
  <c r="AH20" i="5"/>
  <c r="AH33" i="5" s="1"/>
  <c r="W9" i="7"/>
  <c r="K9" i="7"/>
  <c r="K22" i="7" s="1"/>
  <c r="K27" i="7" s="1"/>
  <c r="D24" i="8" l="1"/>
  <c r="E33" i="5"/>
  <c r="AR22" i="1"/>
  <c r="F20" i="5"/>
  <c r="AB24" i="7"/>
  <c r="AB27" i="7"/>
  <c r="X24" i="7"/>
  <c r="X27" i="7"/>
  <c r="U24" i="7"/>
  <c r="U27" i="7"/>
  <c r="V24" i="7"/>
  <c r="V27" i="7"/>
  <c r="R24" i="7"/>
  <c r="R27" i="7"/>
  <c r="AG24" i="7"/>
  <c r="AG27" i="7"/>
  <c r="Z24" i="7"/>
  <c r="Z27" i="7"/>
  <c r="T24" i="7"/>
  <c r="T27" i="7"/>
  <c r="AA24" i="7"/>
  <c r="AA27" i="7"/>
  <c r="AF24" i="7"/>
  <c r="AF27" i="7"/>
  <c r="Y24" i="7"/>
  <c r="Y27" i="7"/>
  <c r="AH24" i="7"/>
  <c r="AH27" i="7"/>
  <c r="S24" i="7"/>
  <c r="S27" i="7"/>
  <c r="AD24" i="7"/>
  <c r="AD27" i="7"/>
  <c r="Q24" i="7"/>
  <c r="Q27" i="7"/>
  <c r="AC24" i="7"/>
  <c r="AC27" i="7"/>
  <c r="K24" i="7"/>
  <c r="W22" i="7"/>
  <c r="F9" i="7"/>
  <c r="F28" i="8" s="1"/>
  <c r="E9" i="7"/>
  <c r="D28" i="8" s="1"/>
  <c r="F24" i="8" l="1"/>
  <c r="H24" i="8" s="1"/>
  <c r="F33" i="5"/>
  <c r="AS22" i="1"/>
  <c r="H28" i="8"/>
  <c r="G28" i="8"/>
  <c r="E27" i="7"/>
  <c r="W24" i="7"/>
  <c r="W27" i="7"/>
  <c r="F27" i="7" s="1"/>
  <c r="F22" i="7"/>
  <c r="E22" i="7"/>
  <c r="G24" i="8" l="1"/>
  <c r="AS29" i="1"/>
  <c r="F31" i="8"/>
  <c r="AR29" i="1"/>
  <c r="D31" i="8"/>
  <c r="F24" i="7"/>
  <c r="E24" i="7"/>
  <c r="H31" i="8" l="1"/>
  <c r="G31" i="8"/>
  <c r="AI19" i="6"/>
  <c r="AJ23" i="6" l="1"/>
  <c r="AJ22" i="6"/>
  <c r="AI9" i="4"/>
  <c r="AI22" i="6"/>
  <c r="AJ20" i="4" l="1"/>
  <c r="AJ9" i="4"/>
  <c r="AJ24" i="6"/>
  <c r="AI24" i="6"/>
  <c r="AI14" i="4"/>
  <c r="AI24" i="4" s="1"/>
  <c r="AI26" i="6" l="1"/>
  <c r="AK22" i="6" l="1"/>
  <c r="AK23" i="6"/>
  <c r="AK20" i="4"/>
  <c r="AI29" i="4"/>
  <c r="AI30" i="4" s="1"/>
  <c r="AK24" i="6" l="1"/>
  <c r="AK9" i="4"/>
  <c r="AI5" i="7"/>
  <c r="AI33" i="4"/>
  <c r="AI36" i="6"/>
  <c r="AI37" i="6" l="1"/>
  <c r="AI39" i="6" s="1"/>
  <c r="AL22" i="6"/>
  <c r="AL23" i="6"/>
  <c r="AI30" i="5"/>
  <c r="AI31" i="5" s="1"/>
  <c r="AI9" i="7"/>
  <c r="AL20" i="4" l="1"/>
  <c r="AL9" i="4"/>
  <c r="AL24" i="6"/>
  <c r="AI41" i="6"/>
  <c r="AM23" i="6" l="1"/>
  <c r="AI23" i="7"/>
  <c r="AI43" i="6"/>
  <c r="AM20" i="4" l="1"/>
  <c r="AM22" i="6"/>
  <c r="AM24" i="6" s="1"/>
  <c r="AM9" i="4"/>
  <c r="AI44" i="6"/>
  <c r="AN22" i="6" l="1"/>
  <c r="AN23" i="6"/>
  <c r="AI46" i="6"/>
  <c r="AJ18" i="6" s="1"/>
  <c r="AI45" i="6"/>
  <c r="AN20" i="4" l="1"/>
  <c r="AN24" i="6"/>
  <c r="AN9" i="4"/>
  <c r="AI23" i="5"/>
  <c r="AI5" i="5"/>
  <c r="AI9" i="5" s="1"/>
  <c r="AI20" i="5" s="1"/>
  <c r="AJ5" i="6"/>
  <c r="AO22" i="6" l="1"/>
  <c r="AO23" i="6"/>
  <c r="AJ11" i="4"/>
  <c r="AJ19" i="6"/>
  <c r="AI20" i="7"/>
  <c r="AI24" i="5"/>
  <c r="AI26" i="5" s="1"/>
  <c r="AI33" i="5" s="1"/>
  <c r="AO20" i="4" l="1"/>
  <c r="AO24" i="6"/>
  <c r="AO9" i="4"/>
  <c r="AJ26" i="6"/>
  <c r="AJ12" i="4"/>
  <c r="AI22" i="7"/>
  <c r="AI24" i="7" l="1"/>
  <c r="AI27" i="7"/>
  <c r="AP23" i="6"/>
  <c r="AJ14" i="4"/>
  <c r="AJ24" i="4" s="1"/>
  <c r="AP20" i="4" l="1"/>
  <c r="AP9" i="4"/>
  <c r="AP22" i="6"/>
  <c r="AP24" i="6" s="1"/>
  <c r="AQ23" i="6" l="1"/>
  <c r="AJ29" i="4"/>
  <c r="AQ20" i="4" l="1"/>
  <c r="AQ9" i="4"/>
  <c r="AQ22" i="6"/>
  <c r="AQ24" i="6" s="1"/>
  <c r="AR23" i="6"/>
  <c r="AJ36" i="6"/>
  <c r="AJ30" i="4"/>
  <c r="AR20" i="4" l="1"/>
  <c r="AJ37" i="6"/>
  <c r="AJ39" i="6" s="1"/>
  <c r="AR9" i="4"/>
  <c r="AR22" i="6"/>
  <c r="AJ5" i="7"/>
  <c r="AJ33" i="4"/>
  <c r="AS23" i="6" l="1"/>
  <c r="AR24" i="6"/>
  <c r="AJ41" i="6"/>
  <c r="AJ30" i="5"/>
  <c r="AJ31" i="5" s="1"/>
  <c r="AJ9" i="7"/>
  <c r="AS20" i="4" l="1"/>
  <c r="AS9" i="4"/>
  <c r="AS22" i="6"/>
  <c r="AJ23" i="7"/>
  <c r="AJ43" i="6"/>
  <c r="AS24" i="6" l="1"/>
  <c r="AJ44" i="6"/>
  <c r="G7" i="4" l="1"/>
  <c r="AT20" i="4"/>
  <c r="AT23" i="6"/>
  <c r="G23" i="6" s="1"/>
  <c r="G8" i="4"/>
  <c r="AJ46" i="6"/>
  <c r="AK18" i="6" s="1"/>
  <c r="AJ45" i="6"/>
  <c r="AT22" i="6" l="1"/>
  <c r="G22" i="6" s="1"/>
  <c r="AT9" i="4"/>
  <c r="G9" i="4" s="1"/>
  <c r="AJ23" i="5"/>
  <c r="AJ5" i="5"/>
  <c r="AJ9" i="5" s="1"/>
  <c r="AJ20" i="5" s="1"/>
  <c r="AK5" i="6"/>
  <c r="AT24" i="6" l="1"/>
  <c r="G24" i="6" s="1"/>
  <c r="G19" i="4"/>
  <c r="G20" i="4"/>
  <c r="AU23" i="6"/>
  <c r="AJ20" i="7"/>
  <c r="AJ24" i="5"/>
  <c r="AJ26" i="5" s="1"/>
  <c r="AJ33" i="5" s="1"/>
  <c r="AK11" i="4"/>
  <c r="AK19" i="6"/>
  <c r="AU20" i="4" l="1"/>
  <c r="J19" i="8"/>
  <c r="L19" i="8" s="1"/>
  <c r="AT18" i="1"/>
  <c r="AU22" i="6"/>
  <c r="AU24" i="6" s="1"/>
  <c r="AU9" i="4"/>
  <c r="AK12" i="4"/>
  <c r="AJ22" i="7"/>
  <c r="AK26" i="6"/>
  <c r="AJ24" i="7" l="1"/>
  <c r="AJ27" i="7"/>
  <c r="K19" i="8"/>
  <c r="AV23" i="6"/>
  <c r="AK14" i="4"/>
  <c r="AK24" i="4" s="1"/>
  <c r="AV9" i="4" l="1"/>
  <c r="AV20" i="4"/>
  <c r="AV22" i="6"/>
  <c r="AV24" i="6" l="1"/>
  <c r="AK29" i="4"/>
  <c r="AK30" i="4" s="1"/>
  <c r="AW22" i="6" l="1"/>
  <c r="AW23" i="6"/>
  <c r="AK5" i="7"/>
  <c r="AK33" i="4"/>
  <c r="AK36" i="6"/>
  <c r="AW20" i="4" l="1"/>
  <c r="AK37" i="6"/>
  <c r="AK39" i="6" s="1"/>
  <c r="AW9" i="4"/>
  <c r="AW24" i="6"/>
  <c r="AK30" i="5"/>
  <c r="AK31" i="5" s="1"/>
  <c r="AK9" i="7"/>
  <c r="AX23" i="6" l="1"/>
  <c r="AX22" i="6"/>
  <c r="AK41" i="6"/>
  <c r="AX20" i="4" l="1"/>
  <c r="AX9" i="4"/>
  <c r="AX24" i="6"/>
  <c r="AK23" i="7"/>
  <c r="AK43" i="6"/>
  <c r="AY23" i="6" l="1"/>
  <c r="AY22" i="6"/>
  <c r="AK44" i="6"/>
  <c r="AY20" i="4" l="1"/>
  <c r="AY24" i="6"/>
  <c r="AY9" i="4"/>
  <c r="AZ23" i="6"/>
  <c r="AK46" i="6"/>
  <c r="AL18" i="6" s="1"/>
  <c r="AK45" i="6"/>
  <c r="AZ20" i="4" l="1"/>
  <c r="AZ9" i="4"/>
  <c r="AZ22" i="6"/>
  <c r="AZ24" i="6" s="1"/>
  <c r="AK23" i="5"/>
  <c r="AK5" i="5"/>
  <c r="AK9" i="5" s="1"/>
  <c r="AK20" i="5" s="1"/>
  <c r="AL5" i="6"/>
  <c r="BA23" i="6" l="1"/>
  <c r="AL11" i="4"/>
  <c r="AL19" i="6"/>
  <c r="AK20" i="7"/>
  <c r="AK24" i="5"/>
  <c r="AK26" i="5" s="1"/>
  <c r="AK33" i="5" s="1"/>
  <c r="BA20" i="4" l="1"/>
  <c r="BA22" i="6"/>
  <c r="BA24" i="6" s="1"/>
  <c r="BA9" i="4"/>
  <c r="AL26" i="6"/>
  <c r="AL12" i="4"/>
  <c r="AK22" i="7"/>
  <c r="AK24" i="7" l="1"/>
  <c r="AK27" i="7"/>
  <c r="BB23" i="6"/>
  <c r="AL14" i="4"/>
  <c r="AL24" i="4" s="1"/>
  <c r="BB22" i="6" l="1"/>
  <c r="BB24" i="6" s="1"/>
  <c r="BB9" i="4"/>
  <c r="BB20" i="4" l="1"/>
  <c r="BC23" i="6"/>
  <c r="AL29" i="4"/>
  <c r="AL30" i="4" s="1"/>
  <c r="BC22" i="6" l="1"/>
  <c r="BC24" i="6" s="1"/>
  <c r="BC9" i="4"/>
  <c r="AL5" i="7"/>
  <c r="AL33" i="4"/>
  <c r="AL36" i="6"/>
  <c r="BC20" i="4" l="1"/>
  <c r="AL37" i="6"/>
  <c r="AL39" i="6" s="1"/>
  <c r="BD23" i="6"/>
  <c r="AL30" i="5"/>
  <c r="AL31" i="5" s="1"/>
  <c r="AL9" i="7"/>
  <c r="BD22" i="6" l="1"/>
  <c r="BD24" i="6" s="1"/>
  <c r="BD9" i="4"/>
  <c r="AL41" i="6"/>
  <c r="BD20" i="4" l="1"/>
  <c r="BE23" i="6"/>
  <c r="AL23" i="7"/>
  <c r="AL43" i="6"/>
  <c r="BE22" i="6" l="1"/>
  <c r="BE24" i="6" s="1"/>
  <c r="BE9" i="4"/>
  <c r="AL44" i="6"/>
  <c r="BE20" i="4" l="1"/>
  <c r="BF22" i="6"/>
  <c r="AL46" i="6"/>
  <c r="AM18" i="6" s="1"/>
  <c r="AL45" i="6"/>
  <c r="BF20" i="4" l="1"/>
  <c r="BF9" i="4"/>
  <c r="H9" i="4" s="1"/>
  <c r="H7" i="4"/>
  <c r="H22" i="6"/>
  <c r="BF23" i="6"/>
  <c r="H23" i="6" s="1"/>
  <c r="H8" i="4"/>
  <c r="AL23" i="5"/>
  <c r="AL5" i="5"/>
  <c r="AL9" i="5" s="1"/>
  <c r="AL20" i="5" s="1"/>
  <c r="AM5" i="6"/>
  <c r="BF24" i="6" l="1"/>
  <c r="H24" i="6" s="1"/>
  <c r="AL20" i="7"/>
  <c r="AL24" i="5"/>
  <c r="AL26" i="5" s="1"/>
  <c r="AL33" i="5" s="1"/>
  <c r="AM11" i="4"/>
  <c r="AM19" i="6"/>
  <c r="H19" i="4" l="1"/>
  <c r="H20" i="4"/>
  <c r="BG23" i="6"/>
  <c r="AM26" i="6"/>
  <c r="AL22" i="7"/>
  <c r="AM12" i="4"/>
  <c r="AL24" i="7" l="1"/>
  <c r="AL27" i="7"/>
  <c r="BG9" i="4"/>
  <c r="BG20" i="4"/>
  <c r="N19" i="8"/>
  <c r="P19" i="8" s="1"/>
  <c r="AU18" i="1"/>
  <c r="BG22" i="6"/>
  <c r="BG24" i="6" s="1"/>
  <c r="AM14" i="4"/>
  <c r="AM24" i="4" s="1"/>
  <c r="O19" i="8" l="1"/>
  <c r="BH23" i="6"/>
  <c r="BH20" i="4" l="1"/>
  <c r="BH9" i="4"/>
  <c r="BH22" i="6"/>
  <c r="AM29" i="4"/>
  <c r="BH24" i="6" l="1"/>
  <c r="AM36" i="6"/>
  <c r="AM30" i="4"/>
  <c r="AM37" i="6" l="1"/>
  <c r="AM39" i="6" s="1"/>
  <c r="BI23" i="6"/>
  <c r="AM5" i="7"/>
  <c r="AM33" i="4"/>
  <c r="BI20" i="4" l="1"/>
  <c r="BI9" i="4"/>
  <c r="BI22" i="6"/>
  <c r="BI24" i="6" s="1"/>
  <c r="AM41" i="6"/>
  <c r="AM30" i="5"/>
  <c r="AM31" i="5" s="1"/>
  <c r="AM9" i="7"/>
  <c r="BJ22" i="6" l="1"/>
  <c r="BJ23" i="6"/>
  <c r="AM23" i="7"/>
  <c r="AM43" i="6"/>
  <c r="BJ20" i="4" l="1"/>
  <c r="BJ24" i="6"/>
  <c r="BJ9" i="4"/>
  <c r="BK23" i="6"/>
  <c r="AM44" i="6"/>
  <c r="BK20" i="4" l="1"/>
  <c r="BK9" i="4"/>
  <c r="BK22" i="6"/>
  <c r="BK24" i="6" s="1"/>
  <c r="AM46" i="6"/>
  <c r="AN18" i="6" s="1"/>
  <c r="AM45" i="6"/>
  <c r="BL23" i="6" l="1"/>
  <c r="AM23" i="5"/>
  <c r="AM5" i="5"/>
  <c r="AM9" i="5" s="1"/>
  <c r="AM20" i="5" s="1"/>
  <c r="AN5" i="6"/>
  <c r="BL20" i="4" l="1"/>
  <c r="BL22" i="6"/>
  <c r="BL24" i="6" s="1"/>
  <c r="BL9" i="4"/>
  <c r="AM20" i="7"/>
  <c r="AM24" i="5"/>
  <c r="AM26" i="5" s="1"/>
  <c r="AM33" i="5" s="1"/>
  <c r="AN11" i="4"/>
  <c r="AN19" i="6"/>
  <c r="AN26" i="6" s="1"/>
  <c r="BM23" i="6" l="1"/>
  <c r="AN12" i="4"/>
  <c r="AM22" i="7"/>
  <c r="AM24" i="7" l="1"/>
  <c r="AM27" i="7"/>
  <c r="BM20" i="4"/>
  <c r="BM22" i="6"/>
  <c r="BM24" i="6" s="1"/>
  <c r="BM9" i="4"/>
  <c r="AN14" i="4"/>
  <c r="AN24" i="4" s="1"/>
  <c r="BN23" i="6" l="1"/>
  <c r="AN29" i="4"/>
  <c r="AN36" i="6" s="1"/>
  <c r="AN37" i="6" s="1"/>
  <c r="AN39" i="6" l="1"/>
  <c r="AN41" i="6" s="1"/>
  <c r="BN22" i="6"/>
  <c r="BN24" i="6" s="1"/>
  <c r="BN9" i="4"/>
  <c r="AN30" i="4"/>
  <c r="BN20" i="4" l="1"/>
  <c r="AN43" i="6"/>
  <c r="AN44" i="6" s="1"/>
  <c r="AN46" i="6" s="1"/>
  <c r="AO18" i="6" s="1"/>
  <c r="AN23" i="7"/>
  <c r="BO23" i="6"/>
  <c r="AN5" i="7"/>
  <c r="AN9" i="7" s="1"/>
  <c r="AN33" i="4"/>
  <c r="BO20" i="4" l="1"/>
  <c r="BO22" i="6"/>
  <c r="BO24" i="6" s="1"/>
  <c r="BO9" i="4"/>
  <c r="AN45" i="6"/>
  <c r="AN5" i="5" s="1"/>
  <c r="AN9" i="5" s="1"/>
  <c r="AN20" i="5" s="1"/>
  <c r="AN30" i="5"/>
  <c r="AN31" i="5" s="1"/>
  <c r="AN23" i="5"/>
  <c r="BP23" i="6" l="1"/>
  <c r="AO5" i="6"/>
  <c r="AN20" i="7"/>
  <c r="AN24" i="5"/>
  <c r="AN26" i="5" s="1"/>
  <c r="AN33" i="5" s="1"/>
  <c r="AO11" i="4"/>
  <c r="AO12" i="4" s="1"/>
  <c r="AO14" i="4" s="1"/>
  <c r="AO24" i="4" s="1"/>
  <c r="AO19" i="6"/>
  <c r="AO26" i="6" s="1"/>
  <c r="BP22" i="6" l="1"/>
  <c r="BP24" i="6" s="1"/>
  <c r="BP9" i="4"/>
  <c r="AO29" i="4"/>
  <c r="AO36" i="6" s="1"/>
  <c r="AO37" i="6" s="1"/>
  <c r="AO39" i="6" s="1"/>
  <c r="AN22" i="7"/>
  <c r="AN24" i="7" l="1"/>
  <c r="AN27" i="7"/>
  <c r="BP20" i="4"/>
  <c r="AO41" i="6"/>
  <c r="BQ23" i="6"/>
  <c r="AO30" i="4"/>
  <c r="BQ20" i="4" l="1"/>
  <c r="AO43" i="6"/>
  <c r="AO44" i="6" s="1"/>
  <c r="AO46" i="6" s="1"/>
  <c r="AP18" i="6" s="1"/>
  <c r="AO23" i="7"/>
  <c r="BQ22" i="6"/>
  <c r="BQ24" i="6" s="1"/>
  <c r="BQ9" i="4"/>
  <c r="AO5" i="7"/>
  <c r="AO9" i="7" s="1"/>
  <c r="AO33" i="4"/>
  <c r="AO23" i="5" l="1"/>
  <c r="AO30" i="5"/>
  <c r="AO31" i="5" s="1"/>
  <c r="AO45" i="6"/>
  <c r="BR22" i="6" l="1"/>
  <c r="I22" i="6" s="1"/>
  <c r="BR20" i="4"/>
  <c r="BR23" i="6"/>
  <c r="I23" i="6" s="1"/>
  <c r="I8" i="4"/>
  <c r="AO5" i="5"/>
  <c r="AO9" i="5" s="1"/>
  <c r="AO20" i="5" s="1"/>
  <c r="AP5" i="6"/>
  <c r="AO20" i="7"/>
  <c r="AO24" i="5"/>
  <c r="AO26" i="5" s="1"/>
  <c r="AP11" i="4"/>
  <c r="AP12" i="4" s="1"/>
  <c r="AP14" i="4" s="1"/>
  <c r="AP24" i="4" s="1"/>
  <c r="AP19" i="6"/>
  <c r="AP26" i="6" s="1"/>
  <c r="AO33" i="5" l="1"/>
  <c r="I7" i="4"/>
  <c r="BR9" i="4"/>
  <c r="I9" i="4" s="1"/>
  <c r="BR24" i="6"/>
  <c r="I24" i="6" s="1"/>
  <c r="AP29" i="4"/>
  <c r="AP36" i="6" s="1"/>
  <c r="AP37" i="6" s="1"/>
  <c r="AP39" i="6" s="1"/>
  <c r="AO22" i="7"/>
  <c r="AO24" i="7" l="1"/>
  <c r="AO27" i="7"/>
  <c r="AP41" i="6"/>
  <c r="I19" i="4"/>
  <c r="I20" i="4"/>
  <c r="AP30" i="4"/>
  <c r="AP43" i="6" l="1"/>
  <c r="AP44" i="6" s="1"/>
  <c r="AP46" i="6" s="1"/>
  <c r="AQ18" i="6" s="1"/>
  <c r="AP23" i="7"/>
  <c r="R19" i="8"/>
  <c r="T19" i="8" s="1"/>
  <c r="AV18" i="1"/>
  <c r="AP5" i="7"/>
  <c r="AP9" i="7" s="1"/>
  <c r="AP33" i="4"/>
  <c r="S19" i="8" l="1"/>
  <c r="AP45" i="6"/>
  <c r="AP23" i="5"/>
  <c r="AP30" i="5"/>
  <c r="AP31" i="5" s="1"/>
  <c r="AQ11" i="4" l="1"/>
  <c r="AQ12" i="4" s="1"/>
  <c r="AQ14" i="4" s="1"/>
  <c r="AQ24" i="4" s="1"/>
  <c r="AQ19" i="6"/>
  <c r="AQ26" i="6" s="1"/>
  <c r="AP20" i="7"/>
  <c r="AP24" i="5"/>
  <c r="AP26" i="5" s="1"/>
  <c r="AP5" i="5"/>
  <c r="AP9" i="5" s="1"/>
  <c r="AP20" i="5" s="1"/>
  <c r="AQ5" i="6"/>
  <c r="AP33" i="5" l="1"/>
  <c r="AP22" i="7"/>
  <c r="AQ29" i="4"/>
  <c r="AQ36" i="6" s="1"/>
  <c r="AQ37" i="6" s="1"/>
  <c r="AQ39" i="6" s="1"/>
  <c r="AP24" i="7" l="1"/>
  <c r="AP27" i="7"/>
  <c r="AQ41" i="6"/>
  <c r="AQ30" i="4"/>
  <c r="AQ23" i="7" l="1"/>
  <c r="AQ43" i="6"/>
  <c r="AQ44" i="6" s="1"/>
  <c r="AQ46" i="6" s="1"/>
  <c r="AR18" i="6" s="1"/>
  <c r="AQ5" i="7"/>
  <c r="AQ9" i="7" s="1"/>
  <c r="AQ33" i="4"/>
  <c r="AQ23" i="5" l="1"/>
  <c r="AQ30" i="5"/>
  <c r="AQ31" i="5" s="1"/>
  <c r="AQ45" i="6"/>
  <c r="AQ5" i="5" l="1"/>
  <c r="AQ9" i="5" s="1"/>
  <c r="AQ20" i="5" s="1"/>
  <c r="AR5" i="6"/>
  <c r="AR11" i="4"/>
  <c r="AR12" i="4" s="1"/>
  <c r="AR14" i="4" s="1"/>
  <c r="AR24" i="4" s="1"/>
  <c r="AR19" i="6"/>
  <c r="AR26" i="6" s="1"/>
  <c r="AQ20" i="7"/>
  <c r="AQ24" i="5"/>
  <c r="AQ26" i="5" s="1"/>
  <c r="AQ33" i="5" l="1"/>
  <c r="AR29" i="4"/>
  <c r="AR36" i="6" s="1"/>
  <c r="AR37" i="6" s="1"/>
  <c r="AR39" i="6" s="1"/>
  <c r="AQ22" i="7"/>
  <c r="AQ24" i="7" l="1"/>
  <c r="AQ27" i="7"/>
  <c r="AR41" i="6"/>
  <c r="AR30" i="4"/>
  <c r="AR43" i="6" l="1"/>
  <c r="AR44" i="6" s="1"/>
  <c r="AR46" i="6" s="1"/>
  <c r="AS18" i="6" s="1"/>
  <c r="AR23" i="7"/>
  <c r="AR5" i="7"/>
  <c r="AR9" i="7" s="1"/>
  <c r="AR33" i="4"/>
  <c r="AR23" i="5" l="1"/>
  <c r="AR45" i="6"/>
  <c r="AR30" i="5"/>
  <c r="AR31" i="5" s="1"/>
  <c r="AS11" i="4" l="1"/>
  <c r="AS12" i="4" s="1"/>
  <c r="AS14" i="4" s="1"/>
  <c r="AS24" i="4" s="1"/>
  <c r="AS19" i="6"/>
  <c r="AS26" i="6" s="1"/>
  <c r="AR5" i="5"/>
  <c r="AR9" i="5" s="1"/>
  <c r="AR20" i="5" s="1"/>
  <c r="AS5" i="6"/>
  <c r="AR20" i="7"/>
  <c r="AR24" i="5"/>
  <c r="AR26" i="5" s="1"/>
  <c r="AR33" i="5" l="1"/>
  <c r="AR22" i="7"/>
  <c r="AS29" i="4"/>
  <c r="AS36" i="6" s="1"/>
  <c r="AS37" i="6" s="1"/>
  <c r="AS39" i="6" s="1"/>
  <c r="AR24" i="7" l="1"/>
  <c r="AR27" i="7"/>
  <c r="AS41" i="6"/>
  <c r="AS30" i="4"/>
  <c r="AS43" i="6" l="1"/>
  <c r="AS44" i="6" s="1"/>
  <c r="AS46" i="6" s="1"/>
  <c r="AS23" i="7"/>
  <c r="AS5" i="7"/>
  <c r="AS9" i="7" s="1"/>
  <c r="AS33" i="4"/>
  <c r="AT18" i="6" l="1"/>
  <c r="G18" i="6" s="1"/>
  <c r="AS45" i="6"/>
  <c r="AS5" i="5" s="1"/>
  <c r="AS9" i="5" s="1"/>
  <c r="AS20" i="5" s="1"/>
  <c r="AS23" i="5"/>
  <c r="AS30" i="5"/>
  <c r="AS31" i="5" s="1"/>
  <c r="AT5" i="6" l="1"/>
  <c r="G5" i="6" s="1"/>
  <c r="AT11" i="4"/>
  <c r="AT19" i="6"/>
  <c r="AS20" i="7"/>
  <c r="AS24" i="5"/>
  <c r="AS26" i="5" s="1"/>
  <c r="AS33" i="5" s="1"/>
  <c r="AS22" i="7" l="1"/>
  <c r="AT26" i="6"/>
  <c r="G19" i="6"/>
  <c r="AT12" i="4"/>
  <c r="G11" i="4"/>
  <c r="AS24" i="7" l="1"/>
  <c r="AS27" i="7"/>
  <c r="AT14" i="4"/>
  <c r="AT24" i="4" s="1"/>
  <c r="G12" i="4"/>
  <c r="G26" i="6"/>
  <c r="J10" i="8" s="1"/>
  <c r="L10" i="8" s="1"/>
  <c r="K10" i="8" l="1"/>
  <c r="G14" i="4"/>
  <c r="J18" i="8" l="1"/>
  <c r="L18" i="8" s="1"/>
  <c r="AT17" i="1"/>
  <c r="AT29" i="4"/>
  <c r="G24" i="4"/>
  <c r="K18" i="8" l="1"/>
  <c r="AT36" i="6"/>
  <c r="G29" i="4"/>
  <c r="AT30" i="4"/>
  <c r="AT37" i="6" l="1"/>
  <c r="AT39" i="6" s="1"/>
  <c r="AT5" i="7"/>
  <c r="G30" i="4"/>
  <c r="AT33" i="4"/>
  <c r="G33" i="4" s="1"/>
  <c r="G36" i="6"/>
  <c r="AT20" i="1" l="1"/>
  <c r="J22" i="8"/>
  <c r="L22" i="8" s="1"/>
  <c r="G39" i="6"/>
  <c r="AT41" i="6"/>
  <c r="AT30" i="5"/>
  <c r="G30" i="5" s="1"/>
  <c r="AT27" i="1" s="1"/>
  <c r="AT9" i="7"/>
  <c r="G5" i="7"/>
  <c r="J11" i="8" l="1"/>
  <c r="L11" i="8" s="1"/>
  <c r="AT43" i="6"/>
  <c r="AT23" i="7"/>
  <c r="G41" i="6"/>
  <c r="K22" i="8"/>
  <c r="AT31" i="5"/>
  <c r="G9" i="7"/>
  <c r="J28" i="8" s="1"/>
  <c r="L28" i="8" s="1"/>
  <c r="G31" i="5" l="1"/>
  <c r="K28" i="8"/>
  <c r="K11" i="8"/>
  <c r="G23" i="7"/>
  <c r="J26" i="8"/>
  <c r="L26" i="8" s="1"/>
  <c r="AT24" i="1"/>
  <c r="AT44" i="6"/>
  <c r="AT45" i="6" s="1"/>
  <c r="G43" i="6"/>
  <c r="AT5" i="5" l="1"/>
  <c r="AU5" i="6"/>
  <c r="G45" i="6"/>
  <c r="G44" i="6"/>
  <c r="AT46" i="6"/>
  <c r="AU18" i="6" s="1"/>
  <c r="K26" i="8"/>
  <c r="G46" i="6" l="1"/>
  <c r="AT23" i="5"/>
  <c r="G23" i="5" s="1"/>
  <c r="AT11" i="1"/>
  <c r="J12" i="8"/>
  <c r="L12" i="8" s="1"/>
  <c r="AT9" i="5"/>
  <c r="G9" i="5" s="1"/>
  <c r="G5" i="5"/>
  <c r="K12" i="8" l="1"/>
  <c r="AT20" i="7"/>
  <c r="AT24" i="5"/>
  <c r="G24" i="5" s="1"/>
  <c r="AT26" i="1" s="1"/>
  <c r="AU11" i="4"/>
  <c r="AU19" i="6"/>
  <c r="AT20" i="5"/>
  <c r="J13" i="8"/>
  <c r="L13" i="8" s="1"/>
  <c r="AT12" i="1"/>
  <c r="G20" i="5" l="1"/>
  <c r="AU26" i="6"/>
  <c r="AT26" i="5"/>
  <c r="G26" i="5" s="1"/>
  <c r="AU12" i="4"/>
  <c r="G20" i="7"/>
  <c r="AT22" i="7"/>
  <c r="K13" i="8"/>
  <c r="AT22" i="1" l="1"/>
  <c r="G33" i="5"/>
  <c r="AT33" i="5"/>
  <c r="J24" i="8"/>
  <c r="L24" i="8" s="1"/>
  <c r="AT28" i="1"/>
  <c r="J30" i="8"/>
  <c r="AT24" i="7"/>
  <c r="AT27" i="7"/>
  <c r="G27" i="7" s="1"/>
  <c r="AU14" i="4"/>
  <c r="AU24" i="4" s="1"/>
  <c r="J25" i="8"/>
  <c r="L25" i="8" s="1"/>
  <c r="AT23" i="1"/>
  <c r="G22" i="7"/>
  <c r="K24" i="8" l="1"/>
  <c r="L30" i="8"/>
  <c r="K30" i="8"/>
  <c r="AT29" i="1"/>
  <c r="J31" i="8"/>
  <c r="L31" i="8" s="1"/>
  <c r="G24" i="7"/>
  <c r="K25" i="8"/>
  <c r="K31" i="8" l="1"/>
  <c r="AU29" i="4"/>
  <c r="AU36" i="6" l="1"/>
  <c r="AU30" i="4"/>
  <c r="AU37" i="6" l="1"/>
  <c r="AU39" i="6" s="1"/>
  <c r="AU5" i="7"/>
  <c r="AU33" i="4"/>
  <c r="AU41" i="6" l="1"/>
  <c r="AU30" i="5"/>
  <c r="AU31" i="5" s="1"/>
  <c r="AU9" i="7"/>
  <c r="AU23" i="7" l="1"/>
  <c r="AU43" i="6"/>
  <c r="AU44" i="6" l="1"/>
  <c r="AU45" i="6" s="1"/>
  <c r="AU5" i="5" l="1"/>
  <c r="AU9" i="5" s="1"/>
  <c r="AU20" i="5" s="1"/>
  <c r="AV5" i="6"/>
  <c r="AU46" i="6"/>
  <c r="AV18" i="6" s="1"/>
  <c r="AU23" i="5" l="1"/>
  <c r="AV11" i="4" l="1"/>
  <c r="AV19" i="6"/>
  <c r="AU24" i="5"/>
  <c r="AU26" i="5" s="1"/>
  <c r="AU33" i="5" s="1"/>
  <c r="AU20" i="7"/>
  <c r="AU22" i="7" l="1"/>
  <c r="AV26" i="6"/>
  <c r="AV12" i="4"/>
  <c r="AU24" i="7" l="1"/>
  <c r="AU27" i="7"/>
  <c r="AV14" i="4"/>
  <c r="AV24" i="4" s="1"/>
  <c r="AV29" i="4" l="1"/>
  <c r="AV36" i="6" l="1"/>
  <c r="AV30" i="4"/>
  <c r="AV37" i="6" l="1"/>
  <c r="AV39" i="6" s="1"/>
  <c r="AV5" i="7"/>
  <c r="AV33" i="4"/>
  <c r="AV41" i="6" l="1"/>
  <c r="AV30" i="5"/>
  <c r="AV31" i="5" s="1"/>
  <c r="AV9" i="7"/>
  <c r="AV23" i="7" l="1"/>
  <c r="AV43" i="6"/>
  <c r="AV44" i="6" l="1"/>
  <c r="AV45" i="6" s="1"/>
  <c r="AW5" i="6" l="1"/>
  <c r="AV5" i="5"/>
  <c r="AV9" i="5" s="1"/>
  <c r="AV20" i="5" s="1"/>
  <c r="AV46" i="6"/>
  <c r="AW18" i="6" s="1"/>
  <c r="AV23" i="5" l="1"/>
  <c r="AW11" i="4" l="1"/>
  <c r="AW19" i="6"/>
  <c r="AV20" i="7"/>
  <c r="AV24" i="5"/>
  <c r="AV26" i="5" s="1"/>
  <c r="AV33" i="5" s="1"/>
  <c r="AV22" i="7" l="1"/>
  <c r="AW26" i="6"/>
  <c r="AW12" i="4"/>
  <c r="AV24" i="7" l="1"/>
  <c r="AV27" i="7"/>
  <c r="AW14" i="4"/>
  <c r="AW24" i="4" s="1"/>
  <c r="AW29" i="4" l="1"/>
  <c r="AW36" i="6" l="1"/>
  <c r="AW30" i="4"/>
  <c r="AW37" i="6" l="1"/>
  <c r="AW39" i="6" s="1"/>
  <c r="AW5" i="7"/>
  <c r="AW33" i="4"/>
  <c r="AW30" i="5" l="1"/>
  <c r="AW31" i="5" s="1"/>
  <c r="AW41" i="6"/>
  <c r="AW9" i="7"/>
  <c r="AW23" i="7" l="1"/>
  <c r="AW43" i="6"/>
  <c r="AW44" i="6" l="1"/>
  <c r="AW45" i="6" s="1"/>
  <c r="AX5" i="6" l="1"/>
  <c r="AW5" i="5"/>
  <c r="AW9" i="5" s="1"/>
  <c r="AW20" i="5" s="1"/>
  <c r="AW46" i="6"/>
  <c r="AX18" i="6" s="1"/>
  <c r="AW23" i="5" l="1"/>
  <c r="AX11" i="4" l="1"/>
  <c r="AX19" i="6"/>
  <c r="AW20" i="7"/>
  <c r="AW24" i="5"/>
  <c r="AW26" i="5" s="1"/>
  <c r="AW33" i="5" s="1"/>
  <c r="AX26" i="6" l="1"/>
  <c r="AW22" i="7"/>
  <c r="AX12" i="4"/>
  <c r="AW24" i="7" l="1"/>
  <c r="AW27" i="7"/>
  <c r="AX14" i="4"/>
  <c r="AX24" i="4" s="1"/>
  <c r="AX29" i="4" l="1"/>
  <c r="AX36" i="6" l="1"/>
  <c r="AX30" i="4"/>
  <c r="AX37" i="6" l="1"/>
  <c r="AX39" i="6" s="1"/>
  <c r="AX5" i="7"/>
  <c r="AX33" i="4"/>
  <c r="AX41" i="6" l="1"/>
  <c r="AX30" i="5"/>
  <c r="AX31" i="5" s="1"/>
  <c r="AX9" i="7"/>
  <c r="AX23" i="7" l="1"/>
  <c r="AX43" i="6"/>
  <c r="AX44" i="6" l="1"/>
  <c r="AX45" i="6" s="1"/>
  <c r="AX5" i="5" l="1"/>
  <c r="AX9" i="5" s="1"/>
  <c r="AX20" i="5" s="1"/>
  <c r="AY5" i="6"/>
  <c r="AX46" i="6"/>
  <c r="AY18" i="6" s="1"/>
  <c r="AX23" i="5" l="1"/>
  <c r="AY11" i="4" l="1"/>
  <c r="AY19" i="6"/>
  <c r="AX24" i="5"/>
  <c r="AX26" i="5" s="1"/>
  <c r="AX33" i="5" s="1"/>
  <c r="AX20" i="7"/>
  <c r="AX22" i="7" l="1"/>
  <c r="AY26" i="6"/>
  <c r="AY12" i="4"/>
  <c r="AX24" i="7" l="1"/>
  <c r="AX27" i="7"/>
  <c r="AY14" i="4"/>
  <c r="AY24" i="4" s="1"/>
  <c r="AY29" i="4" l="1"/>
  <c r="AY36" i="6" l="1"/>
  <c r="AY30" i="4"/>
  <c r="AY37" i="6" l="1"/>
  <c r="AY39" i="6" s="1"/>
  <c r="AY5" i="7"/>
  <c r="AY33" i="4"/>
  <c r="AY41" i="6" l="1"/>
  <c r="AY30" i="5"/>
  <c r="AY31" i="5" s="1"/>
  <c r="AY9" i="7"/>
  <c r="AY23" i="7" l="1"/>
  <c r="AY43" i="6"/>
  <c r="AY44" i="6" l="1"/>
  <c r="AY45" i="6" s="1"/>
  <c r="AY5" i="5" l="1"/>
  <c r="AY9" i="5" s="1"/>
  <c r="AY20" i="5" s="1"/>
  <c r="AZ5" i="6"/>
  <c r="AY46" i="6"/>
  <c r="AZ18" i="6" s="1"/>
  <c r="AY23" i="5" l="1"/>
  <c r="AZ11" i="4" l="1"/>
  <c r="AZ12" i="4" s="1"/>
  <c r="AZ14" i="4" s="1"/>
  <c r="AZ24" i="4" s="1"/>
  <c r="AZ19" i="6"/>
  <c r="AZ26" i="6" s="1"/>
  <c r="AY20" i="7"/>
  <c r="AY24" i="5"/>
  <c r="AY26" i="5" s="1"/>
  <c r="AY33" i="5" s="1"/>
  <c r="AY22" i="7" l="1"/>
  <c r="AZ29" i="4"/>
  <c r="AZ36" i="6" s="1"/>
  <c r="AZ37" i="6" s="1"/>
  <c r="AZ39" i="6" s="1"/>
  <c r="AY24" i="7" l="1"/>
  <c r="AY27" i="7"/>
  <c r="AZ41" i="6"/>
  <c r="AZ30" i="4"/>
  <c r="AZ23" i="7" l="1"/>
  <c r="AZ43" i="6"/>
  <c r="AZ44" i="6" s="1"/>
  <c r="AZ46" i="6" s="1"/>
  <c r="BA18" i="6" s="1"/>
  <c r="AZ5" i="7"/>
  <c r="AZ9" i="7" s="1"/>
  <c r="AZ33" i="4"/>
  <c r="AZ23" i="5" l="1"/>
  <c r="AZ30" i="5"/>
  <c r="AZ31" i="5" s="1"/>
  <c r="AZ45" i="6"/>
  <c r="AZ20" i="7" l="1"/>
  <c r="AZ24" i="5"/>
  <c r="AZ26" i="5" s="1"/>
  <c r="AZ5" i="5"/>
  <c r="AZ9" i="5" s="1"/>
  <c r="AZ20" i="5" s="1"/>
  <c r="AZ33" i="5" s="1"/>
  <c r="BA5" i="6"/>
  <c r="BA11" i="4"/>
  <c r="BA12" i="4" s="1"/>
  <c r="BA14" i="4" s="1"/>
  <c r="BA24" i="4" s="1"/>
  <c r="BA19" i="6"/>
  <c r="BA26" i="6" s="1"/>
  <c r="BA29" i="4" l="1"/>
  <c r="BA36" i="6" s="1"/>
  <c r="BA37" i="6" s="1"/>
  <c r="BA39" i="6" s="1"/>
  <c r="AZ22" i="7"/>
  <c r="AZ24" i="7" l="1"/>
  <c r="AZ27" i="7"/>
  <c r="BA41" i="6"/>
  <c r="BA30" i="4"/>
  <c r="BA43" i="6" l="1"/>
  <c r="BA44" i="6" s="1"/>
  <c r="BA46" i="6" s="1"/>
  <c r="BB18" i="6" s="1"/>
  <c r="BA23" i="7"/>
  <c r="BA5" i="7"/>
  <c r="BA9" i="7" s="1"/>
  <c r="BA33" i="4"/>
  <c r="BA23" i="5" l="1"/>
  <c r="BA45" i="6"/>
  <c r="BA30" i="5"/>
  <c r="BA31" i="5" s="1"/>
  <c r="BA5" i="5" l="1"/>
  <c r="BA9" i="5" s="1"/>
  <c r="BA20" i="5" s="1"/>
  <c r="BB5" i="6"/>
  <c r="BB11" i="4"/>
  <c r="BB12" i="4" s="1"/>
  <c r="BB14" i="4" s="1"/>
  <c r="BB24" i="4" s="1"/>
  <c r="BB19" i="6"/>
  <c r="BB26" i="6" s="1"/>
  <c r="BA20" i="7"/>
  <c r="BA24" i="5"/>
  <c r="BA26" i="5" s="1"/>
  <c r="BA33" i="5" l="1"/>
  <c r="BA22" i="7"/>
  <c r="BB29" i="4"/>
  <c r="BB36" i="6" s="1"/>
  <c r="BB37" i="6" s="1"/>
  <c r="BB39" i="6" s="1"/>
  <c r="BA24" i="7" l="1"/>
  <c r="BA27" i="7"/>
  <c r="BB41" i="6"/>
  <c r="BB30" i="4"/>
  <c r="BB43" i="6" l="1"/>
  <c r="BB44" i="6" s="1"/>
  <c r="BB46" i="6" s="1"/>
  <c r="BC18" i="6" s="1"/>
  <c r="BB23" i="7"/>
  <c r="BB5" i="7"/>
  <c r="BB9" i="7" s="1"/>
  <c r="BB33" i="4"/>
  <c r="BB23" i="5" l="1"/>
  <c r="BB30" i="5"/>
  <c r="BB31" i="5" s="1"/>
  <c r="BB45" i="6"/>
  <c r="BB20" i="7" l="1"/>
  <c r="BB24" i="5"/>
  <c r="BB26" i="5" s="1"/>
  <c r="BB5" i="5"/>
  <c r="BB9" i="5" s="1"/>
  <c r="BB20" i="5" s="1"/>
  <c r="BB33" i="5" s="1"/>
  <c r="BC5" i="6"/>
  <c r="BC11" i="4"/>
  <c r="BC12" i="4" s="1"/>
  <c r="BC14" i="4" s="1"/>
  <c r="BC24" i="4" s="1"/>
  <c r="BC19" i="6"/>
  <c r="BC26" i="6" s="1"/>
  <c r="BC29" i="4" l="1"/>
  <c r="BC36" i="6" s="1"/>
  <c r="BC37" i="6" s="1"/>
  <c r="BC39" i="6" s="1"/>
  <c r="BB22" i="7"/>
  <c r="BB24" i="7" l="1"/>
  <c r="BB27" i="7"/>
  <c r="BC41" i="6"/>
  <c r="BC30" i="4"/>
  <c r="BC23" i="7" l="1"/>
  <c r="BC43" i="6"/>
  <c r="BC44" i="6" s="1"/>
  <c r="BC46" i="6" s="1"/>
  <c r="BD18" i="6" s="1"/>
  <c r="BC5" i="7"/>
  <c r="BC9" i="7" s="1"/>
  <c r="BC33" i="4"/>
  <c r="BC45" i="6" l="1"/>
  <c r="BC5" i="5" s="1"/>
  <c r="BC9" i="5" s="1"/>
  <c r="BC20" i="5" s="1"/>
  <c r="BC30" i="5"/>
  <c r="BC31" i="5" s="1"/>
  <c r="BC23" i="5"/>
  <c r="BD5" i="6" l="1"/>
  <c r="BD11" i="4"/>
  <c r="BD12" i="4" s="1"/>
  <c r="BD14" i="4" s="1"/>
  <c r="BD24" i="4" s="1"/>
  <c r="BD19" i="6"/>
  <c r="BD26" i="6" s="1"/>
  <c r="BC20" i="7"/>
  <c r="BC24" i="5"/>
  <c r="BC26" i="5" s="1"/>
  <c r="BC33" i="5" s="1"/>
  <c r="BC22" i="7" l="1"/>
  <c r="BD29" i="4"/>
  <c r="BD36" i="6" s="1"/>
  <c r="BD37" i="6" s="1"/>
  <c r="BD39" i="6" s="1"/>
  <c r="BC24" i="7" l="1"/>
  <c r="BC27" i="7"/>
  <c r="BD41" i="6"/>
  <c r="BD30" i="4"/>
  <c r="BD23" i="7" l="1"/>
  <c r="BD43" i="6"/>
  <c r="BD44" i="6" s="1"/>
  <c r="BD46" i="6" s="1"/>
  <c r="BE18" i="6" s="1"/>
  <c r="BD5" i="7"/>
  <c r="BD9" i="7" s="1"/>
  <c r="BD33" i="4"/>
  <c r="BD30" i="5" l="1"/>
  <c r="BD31" i="5" s="1"/>
  <c r="BD23" i="5"/>
  <c r="BD45" i="6"/>
  <c r="BD5" i="5" l="1"/>
  <c r="BD9" i="5" s="1"/>
  <c r="BD20" i="5" s="1"/>
  <c r="BE5" i="6"/>
  <c r="BD20" i="7"/>
  <c r="BD24" i="5"/>
  <c r="BD26" i="5" s="1"/>
  <c r="BE11" i="4"/>
  <c r="BE12" i="4" s="1"/>
  <c r="BE14" i="4" s="1"/>
  <c r="BE24" i="4" s="1"/>
  <c r="BE19" i="6"/>
  <c r="BE26" i="6" s="1"/>
  <c r="BD33" i="5" l="1"/>
  <c r="BD22" i="7"/>
  <c r="BE29" i="4"/>
  <c r="BE36" i="6" s="1"/>
  <c r="BE37" i="6" s="1"/>
  <c r="BE39" i="6" s="1"/>
  <c r="BD24" i="7" l="1"/>
  <c r="BD27" i="7"/>
  <c r="BE41" i="6"/>
  <c r="BE30" i="4"/>
  <c r="BE23" i="7" l="1"/>
  <c r="BE43" i="6"/>
  <c r="BE44" i="6" s="1"/>
  <c r="BE46" i="6" s="1"/>
  <c r="BE5" i="7"/>
  <c r="BE9" i="7" s="1"/>
  <c r="BE33" i="4"/>
  <c r="BF18" i="6" l="1"/>
  <c r="H18" i="6" s="1"/>
  <c r="BE45" i="6"/>
  <c r="BE5" i="5" s="1"/>
  <c r="BE9" i="5" s="1"/>
  <c r="BE20" i="5" s="1"/>
  <c r="BE30" i="5"/>
  <c r="BE31" i="5" s="1"/>
  <c r="BE23" i="5"/>
  <c r="BF5" i="6" l="1"/>
  <c r="H5" i="6" s="1"/>
  <c r="BE20" i="7"/>
  <c r="BE24" i="5"/>
  <c r="BE26" i="5" s="1"/>
  <c r="BE33" i="5" s="1"/>
  <c r="BF11" i="4"/>
  <c r="BF19" i="6"/>
  <c r="BF12" i="4" l="1"/>
  <c r="H11" i="4"/>
  <c r="BF26" i="6"/>
  <c r="H19" i="6"/>
  <c r="BE22" i="7"/>
  <c r="BE24" i="7" l="1"/>
  <c r="BE27" i="7"/>
  <c r="H26" i="6"/>
  <c r="N10" i="8" s="1"/>
  <c r="P10" i="8" s="1"/>
  <c r="BF14" i="4"/>
  <c r="BF24" i="4" s="1"/>
  <c r="H12" i="4"/>
  <c r="O10" i="8" l="1"/>
  <c r="H14" i="4"/>
  <c r="N18" i="8" l="1"/>
  <c r="AU17" i="1"/>
  <c r="BF29" i="4"/>
  <c r="H24" i="4"/>
  <c r="O18" i="8" l="1"/>
  <c r="P18" i="8"/>
  <c r="BF36" i="6"/>
  <c r="H29" i="4"/>
  <c r="BF30" i="4"/>
  <c r="BF37" i="6" l="1"/>
  <c r="BF39" i="6" s="1"/>
  <c r="BF5" i="7"/>
  <c r="H30" i="4"/>
  <c r="BF33" i="4"/>
  <c r="H33" i="4" s="1"/>
  <c r="H36" i="6"/>
  <c r="AU20" i="1" l="1"/>
  <c r="N22" i="8"/>
  <c r="P22" i="8" s="1"/>
  <c r="H39" i="6"/>
  <c r="BF41" i="6"/>
  <c r="BF30" i="5"/>
  <c r="H30" i="5" s="1"/>
  <c r="AU27" i="1" s="1"/>
  <c r="BF9" i="7"/>
  <c r="H5" i="7"/>
  <c r="N11" i="8" l="1"/>
  <c r="P11" i="8" s="1"/>
  <c r="BF31" i="5"/>
  <c r="BF23" i="7"/>
  <c r="BF43" i="6"/>
  <c r="H41" i="6"/>
  <c r="O22" i="8"/>
  <c r="H9" i="7"/>
  <c r="N28" i="8" s="1"/>
  <c r="P28" i="8" s="1"/>
  <c r="H31" i="5" l="1"/>
  <c r="O28" i="8"/>
  <c r="O11" i="8"/>
  <c r="H23" i="7"/>
  <c r="AU24" i="1"/>
  <c r="N26" i="8"/>
  <c r="P26" i="8" s="1"/>
  <c r="BF44" i="6"/>
  <c r="H43" i="6"/>
  <c r="H44" i="6" l="1"/>
  <c r="BF46" i="6"/>
  <c r="BG18" i="6" s="1"/>
  <c r="O26" i="8"/>
  <c r="BF45" i="6"/>
  <c r="BF5" i="5" l="1"/>
  <c r="H45" i="6"/>
  <c r="BG5" i="6"/>
  <c r="BF23" i="5"/>
  <c r="H23" i="5" s="1"/>
  <c r="H46" i="6"/>
  <c r="N12" i="8"/>
  <c r="P12" i="8" s="1"/>
  <c r="AU11" i="1"/>
  <c r="O12" i="8" l="1"/>
  <c r="BG11" i="4"/>
  <c r="BG19" i="6"/>
  <c r="N13" i="8"/>
  <c r="P13" i="8" s="1"/>
  <c r="AU12" i="1"/>
  <c r="BF20" i="7"/>
  <c r="BF24" i="5"/>
  <c r="H24" i="5" s="1"/>
  <c r="AU26" i="1" s="1"/>
  <c r="H5" i="5"/>
  <c r="BF9" i="5"/>
  <c r="H9" i="5" s="1"/>
  <c r="BF20" i="5" l="1"/>
  <c r="BG12" i="4"/>
  <c r="O13" i="8"/>
  <c r="BF26" i="5"/>
  <c r="H26" i="5" s="1"/>
  <c r="BG26" i="6"/>
  <c r="H20" i="7"/>
  <c r="BF22" i="7"/>
  <c r="BF33" i="5" l="1"/>
  <c r="H20" i="5"/>
  <c r="AU28" i="1"/>
  <c r="N30" i="8"/>
  <c r="BF24" i="7"/>
  <c r="BF27" i="7"/>
  <c r="H27" i="7" s="1"/>
  <c r="H22" i="7"/>
  <c r="BG14" i="4"/>
  <c r="BG24" i="4" s="1"/>
  <c r="AU23" i="1"/>
  <c r="N25" i="8"/>
  <c r="P25" i="8" s="1"/>
  <c r="N24" i="8" l="1"/>
  <c r="P24" i="8" s="1"/>
  <c r="H33" i="5"/>
  <c r="AU22" i="1"/>
  <c r="P30" i="8"/>
  <c r="O30" i="8"/>
  <c r="AU29" i="1"/>
  <c r="N31" i="8"/>
  <c r="P31" i="8" s="1"/>
  <c r="H24" i="7"/>
  <c r="O24" i="8"/>
  <c r="O25" i="8"/>
  <c r="O31" i="8" l="1"/>
  <c r="BG29" i="4"/>
  <c r="BG36" i="6" l="1"/>
  <c r="BG30" i="4"/>
  <c r="BG37" i="6" l="1"/>
  <c r="BG39" i="6" s="1"/>
  <c r="BG5" i="7"/>
  <c r="BG33" i="4"/>
  <c r="BG9" i="7" l="1"/>
  <c r="BG41" i="6"/>
  <c r="BG30" i="5"/>
  <c r="BG31" i="5" s="1"/>
  <c r="BG23" i="7" l="1"/>
  <c r="BG43" i="6"/>
  <c r="BG44" i="6" l="1"/>
  <c r="BG46" i="6" l="1"/>
  <c r="BH18" i="6" s="1"/>
  <c r="BG45" i="6"/>
  <c r="BG5" i="5" l="1"/>
  <c r="BG9" i="5" s="1"/>
  <c r="BG20" i="5" s="1"/>
  <c r="BH5" i="6"/>
  <c r="BG23" i="5"/>
  <c r="BG20" i="7" l="1"/>
  <c r="BG24" i="5"/>
  <c r="BG26" i="5" s="1"/>
  <c r="BG33" i="5" s="1"/>
  <c r="BH11" i="4"/>
  <c r="BH19" i="6"/>
  <c r="BH26" i="6" l="1"/>
  <c r="BH12" i="4"/>
  <c r="BG22" i="7"/>
  <c r="BG24" i="7" l="1"/>
  <c r="BG27" i="7"/>
  <c r="BH14" i="4"/>
  <c r="BH24" i="4" s="1"/>
  <c r="BH29" i="4" l="1"/>
  <c r="BH36" i="6" l="1"/>
  <c r="BH30" i="4"/>
  <c r="BH37" i="6" l="1"/>
  <c r="BH39" i="6" s="1"/>
  <c r="BH5" i="7"/>
  <c r="BH33" i="4"/>
  <c r="BH41" i="6" l="1"/>
  <c r="BH30" i="5"/>
  <c r="BH31" i="5" s="1"/>
  <c r="BH9" i="7"/>
  <c r="BH23" i="7" l="1"/>
  <c r="BH43" i="6"/>
  <c r="BH44" i="6" l="1"/>
  <c r="BH46" i="6" l="1"/>
  <c r="BI18" i="6" s="1"/>
  <c r="BH45" i="6"/>
  <c r="BH5" i="5" l="1"/>
  <c r="BH9" i="5" s="1"/>
  <c r="BH20" i="5" s="1"/>
  <c r="BI5" i="6"/>
  <c r="BH23" i="5"/>
  <c r="BI11" i="4" l="1"/>
  <c r="BI19" i="6"/>
  <c r="BH20" i="7"/>
  <c r="BH24" i="5"/>
  <c r="BH26" i="5" s="1"/>
  <c r="BH33" i="5" s="1"/>
  <c r="BH22" i="7" l="1"/>
  <c r="BI26" i="6"/>
  <c r="BI12" i="4"/>
  <c r="BH27" i="7" l="1"/>
  <c r="BH24" i="7"/>
  <c r="BI14" i="4"/>
  <c r="BI24" i="4" s="1"/>
  <c r="BI29" i="4" l="1"/>
  <c r="BI30" i="4" s="1"/>
  <c r="BI5" i="7" l="1"/>
  <c r="BI33" i="4"/>
  <c r="BI36" i="6"/>
  <c r="BI37" i="6" l="1"/>
  <c r="BI39" i="6" s="1"/>
  <c r="BI30" i="5"/>
  <c r="BI31" i="5" s="1"/>
  <c r="BI9" i="7"/>
  <c r="BI41" i="6" l="1"/>
  <c r="BI23" i="7" l="1"/>
  <c r="BI43" i="6"/>
  <c r="BI44" i="6" l="1"/>
  <c r="BI45" i="6" s="1"/>
  <c r="BI5" i="5" l="1"/>
  <c r="BI9" i="5" s="1"/>
  <c r="BI20" i="5" s="1"/>
  <c r="BJ5" i="6"/>
  <c r="BI46" i="6"/>
  <c r="BJ18" i="6" s="1"/>
  <c r="BI23" i="5" l="1"/>
  <c r="BI20" i="7" l="1"/>
  <c r="BI24" i="5"/>
  <c r="BI26" i="5" s="1"/>
  <c r="BI33" i="5" s="1"/>
  <c r="BJ11" i="4"/>
  <c r="BJ19" i="6"/>
  <c r="BJ26" i="6" l="1"/>
  <c r="BJ12" i="4"/>
  <c r="BI22" i="7"/>
  <c r="BI24" i="7" l="1"/>
  <c r="BI27" i="7"/>
  <c r="BJ14" i="4"/>
  <c r="BJ24" i="4" s="1"/>
  <c r="BJ29" i="4" l="1"/>
  <c r="BJ36" i="6" l="1"/>
  <c r="BJ30" i="4"/>
  <c r="BJ37" i="6" l="1"/>
  <c r="BJ39" i="6" s="1"/>
  <c r="BJ5" i="7"/>
  <c r="BJ33" i="4"/>
  <c r="BJ41" i="6" l="1"/>
  <c r="BJ30" i="5"/>
  <c r="BJ31" i="5" s="1"/>
  <c r="BJ9" i="7"/>
  <c r="BJ23" i="7" l="1"/>
  <c r="BJ43" i="6"/>
  <c r="BJ44" i="6" l="1"/>
  <c r="BJ46" i="6" l="1"/>
  <c r="BK18" i="6" s="1"/>
  <c r="BJ45" i="6"/>
  <c r="BJ5" i="5" l="1"/>
  <c r="BJ9" i="5" s="1"/>
  <c r="BJ20" i="5" s="1"/>
  <c r="BK5" i="6"/>
  <c r="BJ23" i="5"/>
  <c r="BK11" i="4" l="1"/>
  <c r="BK19" i="6"/>
  <c r="BJ20" i="7"/>
  <c r="BJ24" i="5"/>
  <c r="BJ26" i="5" s="1"/>
  <c r="BJ33" i="5" s="1"/>
  <c r="BJ22" i="7" l="1"/>
  <c r="BK26" i="6"/>
  <c r="BK12" i="4"/>
  <c r="BJ24" i="7" l="1"/>
  <c r="BJ27" i="7"/>
  <c r="BK14" i="4"/>
  <c r="BK24" i="4" s="1"/>
  <c r="BK29" i="4" l="1"/>
  <c r="BK30" i="4" s="1"/>
  <c r="BK5" i="7" l="1"/>
  <c r="BK33" i="4"/>
  <c r="BK36" i="6"/>
  <c r="BK37" i="6" l="1"/>
  <c r="BK39" i="6" s="1"/>
  <c r="BK30" i="5"/>
  <c r="BK31" i="5" s="1"/>
  <c r="BK9" i="7"/>
  <c r="BK41" i="6" l="1"/>
  <c r="BK23" i="7" l="1"/>
  <c r="BK43" i="6"/>
  <c r="BK44" i="6" l="1"/>
  <c r="BK46" i="6" l="1"/>
  <c r="BL18" i="6" s="1"/>
  <c r="BK45" i="6"/>
  <c r="BK23" i="5" l="1"/>
  <c r="BK5" i="5"/>
  <c r="BK9" i="5" s="1"/>
  <c r="BK20" i="5" s="1"/>
  <c r="BL5" i="6"/>
  <c r="BL11" i="4" l="1"/>
  <c r="BL12" i="4" s="1"/>
  <c r="BL14" i="4" s="1"/>
  <c r="BL24" i="4" s="1"/>
  <c r="BL19" i="6"/>
  <c r="BL26" i="6" s="1"/>
  <c r="BK20" i="7"/>
  <c r="BK24" i="5"/>
  <c r="BK26" i="5" s="1"/>
  <c r="BK33" i="5" s="1"/>
  <c r="BK22" i="7" l="1"/>
  <c r="BL29" i="4"/>
  <c r="BL36" i="6" s="1"/>
  <c r="BL37" i="6" s="1"/>
  <c r="BL39" i="6" s="1"/>
  <c r="BK24" i="7" l="1"/>
  <c r="BK27" i="7"/>
  <c r="BL41" i="6"/>
  <c r="BL30" i="4"/>
  <c r="BL23" i="7" l="1"/>
  <c r="BL43" i="6"/>
  <c r="BL44" i="6" s="1"/>
  <c r="BL46" i="6" s="1"/>
  <c r="BM18" i="6" s="1"/>
  <c r="BL5" i="7"/>
  <c r="BL9" i="7" s="1"/>
  <c r="BL33" i="4"/>
  <c r="BL30" i="5" l="1"/>
  <c r="BL31" i="5" s="1"/>
  <c r="BL45" i="6"/>
  <c r="BL23" i="5"/>
  <c r="BM11" i="4" l="1"/>
  <c r="BM12" i="4" s="1"/>
  <c r="BM14" i="4" s="1"/>
  <c r="BM24" i="4" s="1"/>
  <c r="BM19" i="6"/>
  <c r="BM26" i="6" s="1"/>
  <c r="BL20" i="7"/>
  <c r="BL24" i="5"/>
  <c r="BL26" i="5" s="1"/>
  <c r="BL5" i="5"/>
  <c r="BL9" i="5" s="1"/>
  <c r="BL20" i="5" s="1"/>
  <c r="BM5" i="6"/>
  <c r="BL33" i="5" l="1"/>
  <c r="BL22" i="7"/>
  <c r="BM29" i="4"/>
  <c r="BM36" i="6" s="1"/>
  <c r="BM37" i="6" s="1"/>
  <c r="BM39" i="6" s="1"/>
  <c r="BL24" i="7" l="1"/>
  <c r="BL27" i="7"/>
  <c r="BM41" i="6"/>
  <c r="BM30" i="4"/>
  <c r="BM23" i="7" l="1"/>
  <c r="BM43" i="6"/>
  <c r="BM44" i="6" s="1"/>
  <c r="BM46" i="6" s="1"/>
  <c r="BN18" i="6" s="1"/>
  <c r="BM5" i="7"/>
  <c r="BM9" i="7" s="1"/>
  <c r="BM33" i="4"/>
  <c r="BM30" i="5" l="1"/>
  <c r="BM31" i="5" s="1"/>
  <c r="BM23" i="5"/>
  <c r="BM45" i="6"/>
  <c r="BM5" i="5" l="1"/>
  <c r="BM9" i="5" s="1"/>
  <c r="BM20" i="5" s="1"/>
  <c r="BN5" i="6"/>
  <c r="BN11" i="4"/>
  <c r="BN12" i="4" s="1"/>
  <c r="BN14" i="4" s="1"/>
  <c r="BN24" i="4" s="1"/>
  <c r="BN19" i="6"/>
  <c r="BN26" i="6" s="1"/>
  <c r="BM20" i="7"/>
  <c r="BM24" i="5"/>
  <c r="BM26" i="5" s="1"/>
  <c r="BM33" i="5" l="1"/>
  <c r="BM22" i="7"/>
  <c r="BN29" i="4"/>
  <c r="BN36" i="6" s="1"/>
  <c r="BN37" i="6" s="1"/>
  <c r="BN39" i="6" s="1"/>
  <c r="BM24" i="7" l="1"/>
  <c r="BM27" i="7"/>
  <c r="BN41" i="6"/>
  <c r="BN30" i="4"/>
  <c r="BN43" i="6" l="1"/>
  <c r="BN44" i="6" s="1"/>
  <c r="BN46" i="6" s="1"/>
  <c r="BO18" i="6" s="1"/>
  <c r="BN23" i="7"/>
  <c r="BN5" i="7"/>
  <c r="BN9" i="7" s="1"/>
  <c r="BN33" i="4"/>
  <c r="BN23" i="5" l="1"/>
  <c r="BN30" i="5"/>
  <c r="BN31" i="5" s="1"/>
  <c r="BN45" i="6"/>
  <c r="BO11" i="4" l="1"/>
  <c r="BO12" i="4" s="1"/>
  <c r="BO14" i="4" s="1"/>
  <c r="BO24" i="4" s="1"/>
  <c r="BO19" i="6"/>
  <c r="BO26" i="6" s="1"/>
  <c r="BN5" i="5"/>
  <c r="BN9" i="5" s="1"/>
  <c r="BN20" i="5" s="1"/>
  <c r="BO5" i="6"/>
  <c r="BN20" i="7"/>
  <c r="BN24" i="5"/>
  <c r="BN26" i="5" s="1"/>
  <c r="BN33" i="5" l="1"/>
  <c r="BN22" i="7"/>
  <c r="BO29" i="4"/>
  <c r="BO36" i="6" s="1"/>
  <c r="BO37" i="6" s="1"/>
  <c r="BO39" i="6" s="1"/>
  <c r="BN24" i="7" l="1"/>
  <c r="BN27" i="7"/>
  <c r="BO41" i="6"/>
  <c r="BO30" i="4"/>
  <c r="BO43" i="6" l="1"/>
  <c r="BO44" i="6" s="1"/>
  <c r="BO46" i="6" s="1"/>
  <c r="BP18" i="6" s="1"/>
  <c r="BO23" i="7"/>
  <c r="BO5" i="7"/>
  <c r="BO9" i="7" s="1"/>
  <c r="BO33" i="4"/>
  <c r="BO23" i="5" l="1"/>
  <c r="BO45" i="6"/>
  <c r="BO30" i="5"/>
  <c r="BO31" i="5" s="1"/>
  <c r="BO5" i="5" l="1"/>
  <c r="BO9" i="5" s="1"/>
  <c r="BO20" i="5" s="1"/>
  <c r="BP5" i="6"/>
  <c r="BP11" i="4"/>
  <c r="BP12" i="4" s="1"/>
  <c r="BP14" i="4" s="1"/>
  <c r="BP24" i="4" s="1"/>
  <c r="BP19" i="6"/>
  <c r="BP26" i="6" s="1"/>
  <c r="BO20" i="7"/>
  <c r="BO24" i="5"/>
  <c r="BO26" i="5" s="1"/>
  <c r="BO33" i="5" l="1"/>
  <c r="BO22" i="7"/>
  <c r="BP29" i="4"/>
  <c r="BP36" i="6" s="1"/>
  <c r="BP37" i="6" s="1"/>
  <c r="BP39" i="6" s="1"/>
  <c r="BO24" i="7" l="1"/>
  <c r="BO27" i="7"/>
  <c r="BP41" i="6"/>
  <c r="BP30" i="4"/>
  <c r="BP23" i="7" l="1"/>
  <c r="BP43" i="6"/>
  <c r="BP44" i="6" s="1"/>
  <c r="BP46" i="6" s="1"/>
  <c r="BQ18" i="6" s="1"/>
  <c r="BP5" i="7"/>
  <c r="BP9" i="7" s="1"/>
  <c r="BP33" i="4"/>
  <c r="BP23" i="5" l="1"/>
  <c r="BP30" i="5"/>
  <c r="BP31" i="5" s="1"/>
  <c r="BP45" i="6"/>
  <c r="BP5" i="5" l="1"/>
  <c r="BP9" i="5" s="1"/>
  <c r="BP20" i="5" s="1"/>
  <c r="BQ5" i="6"/>
  <c r="BP24" i="5"/>
  <c r="BP26" i="5" s="1"/>
  <c r="BP20" i="7"/>
  <c r="BQ11" i="4"/>
  <c r="BQ12" i="4" s="1"/>
  <c r="BQ14" i="4" s="1"/>
  <c r="BQ24" i="4" s="1"/>
  <c r="BQ19" i="6"/>
  <c r="BQ26" i="6" s="1"/>
  <c r="BP33" i="5" l="1"/>
  <c r="BP22" i="7"/>
  <c r="BQ29" i="4"/>
  <c r="BQ36" i="6" s="1"/>
  <c r="BQ37" i="6" s="1"/>
  <c r="BQ39" i="6" s="1"/>
  <c r="BP24" i="7" l="1"/>
  <c r="BP27" i="7"/>
  <c r="BQ41" i="6"/>
  <c r="BQ30" i="4"/>
  <c r="BQ23" i="7" l="1"/>
  <c r="BQ43" i="6"/>
  <c r="BQ44" i="6" s="1"/>
  <c r="BQ46" i="6" s="1"/>
  <c r="BQ5" i="7"/>
  <c r="BQ9" i="7" s="1"/>
  <c r="BQ33" i="4"/>
  <c r="BR18" i="6" l="1"/>
  <c r="I18" i="6" s="1"/>
  <c r="BQ45" i="6"/>
  <c r="BQ5" i="5" s="1"/>
  <c r="BQ9" i="5" s="1"/>
  <c r="BQ20" i="5" s="1"/>
  <c r="BQ23" i="5"/>
  <c r="BQ30" i="5"/>
  <c r="BQ31" i="5" s="1"/>
  <c r="BR5" i="6" l="1"/>
  <c r="I5" i="6" s="1"/>
  <c r="BQ20" i="7"/>
  <c r="BQ24" i="5"/>
  <c r="BQ26" i="5" s="1"/>
  <c r="BQ33" i="5" s="1"/>
  <c r="BR11" i="4"/>
  <c r="BR19" i="6"/>
  <c r="BR26" i="6" l="1"/>
  <c r="I19" i="6"/>
  <c r="BR12" i="4"/>
  <c r="I11" i="4"/>
  <c r="BQ22" i="7"/>
  <c r="BQ24" i="7" l="1"/>
  <c r="BQ27" i="7"/>
  <c r="BR14" i="4"/>
  <c r="BR24" i="4" s="1"/>
  <c r="I12" i="4"/>
  <c r="I26" i="6"/>
  <c r="R10" i="8" s="1"/>
  <c r="T10" i="8" s="1"/>
  <c r="S10" i="8" l="1"/>
  <c r="I14" i="4"/>
  <c r="R18" i="8" l="1"/>
  <c r="T18" i="8" s="1"/>
  <c r="AV17" i="1"/>
  <c r="BR29" i="4"/>
  <c r="BR30" i="4" s="1"/>
  <c r="I24" i="4"/>
  <c r="S18" i="8" l="1"/>
  <c r="BR5" i="7"/>
  <c r="I30" i="4"/>
  <c r="BR33" i="4"/>
  <c r="I33" i="4" s="1"/>
  <c r="BR36" i="6"/>
  <c r="I29" i="4"/>
  <c r="BR37" i="6" l="1"/>
  <c r="BR39" i="6" s="1"/>
  <c r="I36" i="6"/>
  <c r="BR30" i="5"/>
  <c r="I30" i="5" s="1"/>
  <c r="AV27" i="1" s="1"/>
  <c r="R22" i="8"/>
  <c r="T22" i="8" s="1"/>
  <c r="AV20" i="1"/>
  <c r="BR9" i="7"/>
  <c r="I5" i="7"/>
  <c r="I9" i="7" l="1"/>
  <c r="R28" i="8" s="1"/>
  <c r="T28" i="8" s="1"/>
  <c r="BR31" i="5"/>
  <c r="S22" i="8"/>
  <c r="I39" i="6"/>
  <c r="BR41" i="6"/>
  <c r="I31" i="5" l="1"/>
  <c r="S28" i="8"/>
  <c r="R11" i="8"/>
  <c r="BR23" i="7"/>
  <c r="BR43" i="6"/>
  <c r="I41" i="6"/>
  <c r="AV24" i="1" l="1"/>
  <c r="R26" i="8"/>
  <c r="T26" i="8" s="1"/>
  <c r="S11" i="8"/>
  <c r="T11" i="8"/>
  <c r="I23" i="7"/>
  <c r="BR44" i="6"/>
  <c r="BR45" i="6" s="1"/>
  <c r="I43" i="6"/>
  <c r="S26" i="8"/>
  <c r="BR5" i="5" l="1"/>
  <c r="I45" i="6"/>
  <c r="I44" i="6"/>
  <c r="BR46" i="6"/>
  <c r="BR23" i="5" l="1"/>
  <c r="I23" i="5" s="1"/>
  <c r="I46" i="6"/>
  <c r="R13" i="8" s="1"/>
  <c r="T13" i="8" s="1"/>
  <c r="R12" i="8"/>
  <c r="T12" i="8" s="1"/>
  <c r="AV11" i="1"/>
  <c r="BR9" i="5"/>
  <c r="I9" i="5" s="1"/>
  <c r="I5" i="5"/>
  <c r="BR20" i="5" l="1"/>
  <c r="S12" i="8"/>
  <c r="AV12" i="1"/>
  <c r="BR20" i="7"/>
  <c r="BR24" i="5"/>
  <c r="I24" i="5" s="1"/>
  <c r="AV26" i="1" s="1"/>
  <c r="I20" i="5" l="1"/>
  <c r="I20" i="7"/>
  <c r="BR22" i="7"/>
  <c r="S13" i="8"/>
  <c r="BR26" i="5"/>
  <c r="I26" i="5" s="1"/>
  <c r="AV22" i="1" l="1"/>
  <c r="I33" i="5"/>
  <c r="BR33" i="5"/>
  <c r="R24" i="8"/>
  <c r="T24" i="8" s="1"/>
  <c r="AV28" i="1"/>
  <c r="R30" i="8"/>
  <c r="E30" i="7"/>
  <c r="BR24" i="7"/>
  <c r="BR27" i="7"/>
  <c r="I22" i="7"/>
  <c r="AV23" i="1"/>
  <c r="R25" i="8"/>
  <c r="T25" i="8" s="1"/>
  <c r="S24" i="8" l="1"/>
  <c r="T30" i="8"/>
  <c r="S30" i="8"/>
  <c r="AV29" i="1"/>
  <c r="R31" i="8"/>
  <c r="T31" i="8" s="1"/>
  <c r="E31" i="7"/>
  <c r="I27" i="7"/>
  <c r="E28" i="7"/>
  <c r="I24" i="7"/>
  <c r="S25" i="8"/>
  <c r="S31" i="8" l="1"/>
  <c r="E32" i="7"/>
  <c r="D32" i="8" l="1"/>
  <c r="AR3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11D519BA-CCB3-4E3F-A4AB-082A2867D2D5}">
      <text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B2" authorId="0" shapeId="0" xr:uid="{F040A208-42F1-4ACF-A6A0-40CF957CA96D}">
      <text/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33E81961-1C1D-4D1D-929F-EA8F78FA2901}">
      <text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DC1F1DE3-60DC-4133-89E2-44B6BC0B42C4}">
      <text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CF068FCD-B91C-4A16-948B-EA5C4F86B030}">
      <text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2A13E5C0-7662-4B85-AD7C-3BFE6923B2EA}">
      <text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2AB55935-FECF-4C96-AC37-B6B458A89DAA}">
      <text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8A8FBF1D-52CD-496D-8AF6-FA0D6048F1CD}">
      <text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3B345ADE-B20C-4D0D-A29D-4A37A5887542}">
      <text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<sst xmlns="http://schemas.openxmlformats.org/spreadsheetml/2006/main" count="907" uniqueCount="302">
  <si>
    <t>info</t>
  </si>
  <si>
    <t>Drivers</t>
  </si>
  <si>
    <t>Capitalization</t>
  </si>
  <si>
    <t>Capital Expenditures</t>
  </si>
  <si>
    <t>Overhead</t>
  </si>
  <si>
    <t>Payroll</t>
  </si>
  <si>
    <t>Rates</t>
  </si>
  <si>
    <t>Loans</t>
  </si>
  <si>
    <t>Other</t>
  </si>
  <si>
    <t>5-year Summary</t>
  </si>
  <si>
    <t>Debt</t>
  </si>
  <si>
    <t>Equity</t>
  </si>
  <si>
    <t>Purchase</t>
  </si>
  <si>
    <t>Salvage</t>
  </si>
  <si>
    <t>Deprc</t>
  </si>
  <si>
    <t>Originations</t>
  </si>
  <si>
    <t>Cost of capital</t>
  </si>
  <si>
    <t>Year 1</t>
  </si>
  <si>
    <t>Year 2</t>
  </si>
  <si>
    <t>Year 3</t>
  </si>
  <si>
    <t>Year 4</t>
  </si>
  <si>
    <t>Year 5</t>
  </si>
  <si>
    <t>m</t>
  </si>
  <si>
    <t>S/T</t>
  </si>
  <si>
    <t>L/T</t>
  </si>
  <si>
    <t>Pref</t>
  </si>
  <si>
    <t>Com</t>
  </si>
  <si>
    <t>Divs</t>
  </si>
  <si>
    <t>Expense</t>
  </si>
  <si>
    <t>Catgry</t>
  </si>
  <si>
    <t>amt</t>
  </si>
  <si>
    <t># m</t>
  </si>
  <si>
    <t>NAV</t>
  </si>
  <si>
    <t>y1</t>
  </si>
  <si>
    <t>y/y</t>
  </si>
  <si>
    <t>Title / Level</t>
  </si>
  <si>
    <t>FTE</t>
  </si>
  <si>
    <t>Base</t>
  </si>
  <si>
    <t>Bonus</t>
  </si>
  <si>
    <t>Comp</t>
  </si>
  <si>
    <t>Prime</t>
  </si>
  <si>
    <t>Spread</t>
  </si>
  <si>
    <t>RateLend</t>
  </si>
  <si>
    <t>OrigMo</t>
  </si>
  <si>
    <t>MoRate</t>
  </si>
  <si>
    <t xml:space="preserve">  Loans</t>
  </si>
  <si>
    <t>0</t>
  </si>
  <si>
    <t>Facility</t>
  </si>
  <si>
    <t>General &amp; Admin</t>
  </si>
  <si>
    <t>CEO</t>
  </si>
  <si>
    <t xml:space="preserve">    # Orig</t>
  </si>
  <si>
    <t>Equip</t>
  </si>
  <si>
    <t>Sales &amp; Marketing</t>
  </si>
  <si>
    <t>CFO</t>
  </si>
  <si>
    <t xml:space="preserve">    # Sold</t>
  </si>
  <si>
    <t>Improvements</t>
  </si>
  <si>
    <t>Fixture</t>
  </si>
  <si>
    <t>Tech &amp; Systems</t>
  </si>
  <si>
    <t>COO</t>
  </si>
  <si>
    <t>Trademark</t>
  </si>
  <si>
    <t>Intang</t>
  </si>
  <si>
    <t>Finance/1</t>
  </si>
  <si>
    <t>Proceeds</t>
  </si>
  <si>
    <t>Finance/2</t>
  </si>
  <si>
    <t xml:space="preserve">  Credit line</t>
  </si>
  <si>
    <t>Land</t>
  </si>
  <si>
    <t>Operations/1</t>
  </si>
  <si>
    <t xml:space="preserve">    Borrow</t>
  </si>
  <si>
    <t>Unknown</t>
  </si>
  <si>
    <t>Operations/2</t>
  </si>
  <si>
    <t xml:space="preserve">    Balance</t>
  </si>
  <si>
    <t>Marketing/1</t>
  </si>
  <si>
    <t>Miitigation</t>
  </si>
  <si>
    <t xml:space="preserve">  CapEx</t>
  </si>
  <si>
    <t>Marketing/2</t>
  </si>
  <si>
    <t>Costs</t>
  </si>
  <si>
    <t xml:space="preserve">    Expense</t>
  </si>
  <si>
    <t>Tech/1</t>
  </si>
  <si>
    <t xml:space="preserve">    Salvage</t>
  </si>
  <si>
    <t>Tech/2</t>
  </si>
  <si>
    <t xml:space="preserve">  Income</t>
  </si>
  <si>
    <t>Sales</t>
  </si>
  <si>
    <t xml:space="preserve">    COGS</t>
  </si>
  <si>
    <t xml:space="preserve">    Earnings</t>
  </si>
  <si>
    <t xml:space="preserve">  Balance</t>
  </si>
  <si>
    <t xml:space="preserve">    Assets</t>
  </si>
  <si>
    <t xml:space="preserve">    Liabilities</t>
  </si>
  <si>
    <t xml:space="preserve">    Equity</t>
  </si>
  <si>
    <t># Originations</t>
  </si>
  <si>
    <t># Sales</t>
  </si>
  <si>
    <t># Retirements</t>
  </si>
  <si>
    <t>Net Activity</t>
  </si>
  <si>
    <t>Interest Collected</t>
  </si>
  <si>
    <t>Loans Receivable</t>
  </si>
  <si>
    <t>Amort</t>
  </si>
  <si>
    <t>Balance</t>
  </si>
  <si>
    <t>iCollect</t>
  </si>
  <si>
    <t>pCollect</t>
  </si>
  <si>
    <r>
      <t>Profit</t>
    </r>
    <r>
      <rPr>
        <sz val="13"/>
        <rFont val="Calibri"/>
        <family val="2"/>
        <scheme val="minor"/>
      </rPr>
      <t xml:space="preserve"> &amp; </t>
    </r>
    <r>
      <rPr>
        <sz val="16"/>
        <rFont val="Calibri"/>
        <family val="2"/>
        <scheme val="minor"/>
      </rPr>
      <t>Loss</t>
    </r>
  </si>
  <si>
    <t>Application fee</t>
  </si>
  <si>
    <t>Origination fee</t>
  </si>
  <si>
    <t>Servicing fee</t>
  </si>
  <si>
    <t>Delinquency fee</t>
  </si>
  <si>
    <t>Revenue from Fees</t>
  </si>
  <si>
    <t>Net Interest Income</t>
  </si>
  <si>
    <t>Gain on loan sales</t>
  </si>
  <si>
    <t>Revenue</t>
  </si>
  <si>
    <t>Referral fee</t>
  </si>
  <si>
    <t>Commission</t>
  </si>
  <si>
    <t>Processing fee</t>
  </si>
  <si>
    <t>Loss Provision</t>
  </si>
  <si>
    <t>Cost of Sales</t>
  </si>
  <si>
    <t>Depreciation &amp; Amort</t>
  </si>
  <si>
    <t>Operating Income</t>
  </si>
  <si>
    <t>Interest- S/T debt</t>
  </si>
  <si>
    <t>Interest- L/T debt</t>
  </si>
  <si>
    <t>Income Tax</t>
  </si>
  <si>
    <t>Net Income</t>
  </si>
  <si>
    <t>Dividends</t>
  </si>
  <si>
    <t>Retained Earnings</t>
  </si>
  <si>
    <t>Balance Sheet</t>
  </si>
  <si>
    <t>Cash</t>
  </si>
  <si>
    <t>Current Assets</t>
  </si>
  <si>
    <t>All Other</t>
  </si>
  <si>
    <t>Net Fixed Assets</t>
  </si>
  <si>
    <t>Assets</t>
  </si>
  <si>
    <t>Short-Term Debt</t>
  </si>
  <si>
    <t>Credit Facility</t>
  </si>
  <si>
    <t>Current Liabilities</t>
  </si>
  <si>
    <t>Long-Term Debt</t>
  </si>
  <si>
    <t>Liabilities</t>
  </si>
  <si>
    <t>Preferred</t>
  </si>
  <si>
    <t>Common</t>
  </si>
  <si>
    <t>Check</t>
  </si>
  <si>
    <t>Cash Flow</t>
  </si>
  <si>
    <t>Starting Cash</t>
  </si>
  <si>
    <t>New Debt</t>
  </si>
  <si>
    <t>Preferred Stock</t>
  </si>
  <si>
    <t>Common Stock</t>
  </si>
  <si>
    <t>New Equity</t>
  </si>
  <si>
    <t>New Capital</t>
  </si>
  <si>
    <t>Principal Collected</t>
  </si>
  <si>
    <t>Service fee</t>
  </si>
  <si>
    <t>Total Collections</t>
  </si>
  <si>
    <t>Operating Expenses</t>
  </si>
  <si>
    <t>Commissions</t>
  </si>
  <si>
    <t>Interest- Credit Facility</t>
  </si>
  <si>
    <t>Taxes</t>
  </si>
  <si>
    <t>Total Disbursements</t>
  </si>
  <si>
    <t>Unadjusted Cash</t>
  </si>
  <si>
    <r>
      <t>Credit Fac Borrow</t>
    </r>
    <r>
      <rPr>
        <sz val="9.5"/>
        <color rgb="FFFF0000"/>
        <rFont val="Calibri"/>
        <family val="2"/>
        <scheme val="minor"/>
      </rPr>
      <t>/repay</t>
    </r>
  </si>
  <si>
    <t>Ending Cash</t>
  </si>
  <si>
    <t>Credit Facility Balance</t>
  </si>
  <si>
    <t>Cash from Operations</t>
  </si>
  <si>
    <t>Capital expenditures</t>
  </si>
  <si>
    <t>Salvage proceeds</t>
  </si>
  <si>
    <t>Cash from Investing</t>
  </si>
  <si>
    <t>Cash from Financing</t>
  </si>
  <si>
    <t>Equity Value</t>
  </si>
  <si>
    <t>Present Value, FCFE</t>
  </si>
  <si>
    <t>5-yr Summary</t>
  </si>
  <si>
    <t>y2</t>
  </si>
  <si>
    <t>y/y%</t>
  </si>
  <si>
    <t>y3</t>
  </si>
  <si>
    <t>y4</t>
  </si>
  <si>
    <t>y5</t>
  </si>
  <si>
    <t>Expenditures</t>
  </si>
  <si>
    <t>Cash collected</t>
  </si>
  <si>
    <t>Cash disbursed</t>
  </si>
  <si>
    <r>
      <t>Cash borrowed/</t>
    </r>
    <r>
      <rPr>
        <sz val="9.5"/>
        <color rgb="FFFF0000"/>
        <rFont val="Calibri"/>
        <family val="2"/>
        <scheme val="minor"/>
      </rPr>
      <t>repaid</t>
    </r>
  </si>
  <si>
    <t>Income Statement</t>
  </si>
  <si>
    <t>Cost of Goods Sold</t>
  </si>
  <si>
    <t>Payroll expense</t>
  </si>
  <si>
    <t>Overhead expense</t>
  </si>
  <si>
    <t>Net Earnings</t>
  </si>
  <si>
    <t>Face value</t>
  </si>
  <si>
    <t>Sale Proceeds</t>
  </si>
  <si>
    <t>Princ</t>
  </si>
  <si>
    <t>Bal</t>
  </si>
  <si>
    <t>Pmt</t>
  </si>
  <si>
    <t>Int</t>
  </si>
  <si>
    <t>All other</t>
  </si>
  <si>
    <t>Salvage Proceeds</t>
  </si>
  <si>
    <t>Gain/loss on Salvage</t>
  </si>
  <si>
    <t>Amortization</t>
  </si>
  <si>
    <t>Off</t>
  </si>
  <si>
    <t>Loan interest collected</t>
  </si>
  <si>
    <t>Gain</t>
  </si>
  <si>
    <t>Sal</t>
  </si>
  <si>
    <t>Stop</t>
  </si>
  <si>
    <t>Mos</t>
  </si>
  <si>
    <t>Exp</t>
  </si>
  <si>
    <t>Dep</t>
  </si>
  <si>
    <t>Capital Invesments</t>
  </si>
  <si>
    <t>Lending</t>
  </si>
  <si>
    <t>Gain on asset sales</t>
  </si>
  <si>
    <t>Credit facility interest</t>
  </si>
  <si>
    <t>Short-term debt</t>
  </si>
  <si>
    <t>Long-term debt</t>
  </si>
  <si>
    <t># Loans outstanding</t>
  </si>
  <si>
    <t>Gain/loss on salvage</t>
  </si>
  <si>
    <t xml:space="preserve">    Recvables</t>
  </si>
  <si>
    <t>Loss Reserve</t>
  </si>
  <si>
    <t>sAmort</t>
  </si>
  <si>
    <t>Starting balance</t>
  </si>
  <si>
    <t>⎯ Principal collected</t>
  </si>
  <si>
    <t>⎯ Sales</t>
  </si>
  <si>
    <t>Sales Proceeds</t>
  </si>
  <si>
    <t>Sales Premium</t>
  </si>
  <si>
    <t>Fees Collected</t>
  </si>
  <si>
    <r>
      <t xml:space="preserve">Interest </t>
    </r>
    <r>
      <rPr>
        <sz val="9"/>
        <rFont val="Calibri"/>
        <family val="2"/>
        <scheme val="minor"/>
      </rPr>
      <t>&amp;</t>
    </r>
    <r>
      <rPr>
        <sz val="9.5"/>
        <rFont val="Calibri"/>
        <family val="2"/>
        <scheme val="minor"/>
      </rPr>
      <t xml:space="preserve"> taxes</t>
    </r>
  </si>
  <si>
    <t>Salvage value</t>
  </si>
  <si>
    <t>⎯ Chargeoffs</t>
  </si>
  <si>
    <t>Loan chargeoffs</t>
  </si>
  <si>
    <r>
      <t>Cash In/</t>
    </r>
    <r>
      <rPr>
        <b/>
        <sz val="9.5"/>
        <color rgb="FFFF0000"/>
        <rFont val="Calibri"/>
        <family val="2"/>
        <scheme val="minor"/>
      </rPr>
      <t>out</t>
    </r>
  </si>
  <si>
    <t>Accumulated Deprec</t>
  </si>
  <si>
    <t>∆ Loans Receivable</t>
  </si>
  <si>
    <t>Preferred stock</t>
  </si>
  <si>
    <t>Common stock</t>
  </si>
  <si>
    <t>Accum Depreciation</t>
  </si>
  <si>
    <t>Gain from Sales</t>
  </si>
  <si>
    <t>Loans Outstanding</t>
  </si>
  <si>
    <t>Depreciation</t>
  </si>
  <si>
    <t xml:space="preserve">  Cash flow</t>
  </si>
  <si>
    <t xml:space="preserve">    Revenue</t>
  </si>
  <si>
    <t xml:space="preserve">    Ops</t>
  </si>
  <si>
    <t xml:space="preserve">    Investing</t>
  </si>
  <si>
    <t xml:space="preserve">    Financing</t>
  </si>
  <si>
    <t xml:space="preserve">    In/Out</t>
  </si>
  <si>
    <t xml:space="preserve">    OpEx</t>
  </si>
  <si>
    <t xml:space="preserve">    Equity val</t>
  </si>
  <si>
    <t>∑ Present Value, FCFE</t>
  </si>
  <si>
    <t>Terminal Value</t>
  </si>
  <si>
    <t>PV, Terminal Value</t>
  </si>
  <si>
    <r>
      <rPr>
        <b/>
        <sz val="9.5"/>
        <rFont val="Calibri"/>
        <family val="2"/>
        <scheme val="minor"/>
      </rPr>
      <t>Free Cash Flow</t>
    </r>
    <r>
      <rPr>
        <sz val="9.5"/>
        <rFont val="Calibri"/>
        <family val="2"/>
        <scheme val="minor"/>
      </rPr>
      <t xml:space="preserve"> ⎯ Indirect</t>
    </r>
  </si>
  <si>
    <r>
      <rPr>
        <b/>
        <sz val="9.5"/>
        <rFont val="Calibri"/>
        <family val="2"/>
        <scheme val="minor"/>
      </rPr>
      <t>Free Cash Flow</t>
    </r>
    <r>
      <rPr>
        <sz val="9.5"/>
        <rFont val="Calibri"/>
        <family val="2"/>
        <scheme val="minor"/>
      </rPr>
      <t xml:space="preserve"> ⎯ Direct</t>
    </r>
  </si>
  <si>
    <t>Wgtd Avg Cost of Capital</t>
  </si>
  <si>
    <t>Credit line</t>
  </si>
  <si>
    <t>Systems</t>
  </si>
  <si>
    <t>Furniture</t>
  </si>
  <si>
    <t>Ops</t>
  </si>
  <si>
    <t>Investing</t>
  </si>
  <si>
    <t>Financing</t>
  </si>
  <si>
    <r>
      <t>In/</t>
    </r>
    <r>
      <rPr>
        <sz val="9.5"/>
        <color rgb="FFFF0000"/>
        <rFont val="Calibri"/>
        <family val="2"/>
        <scheme val="minor"/>
      </rPr>
      <t>Out</t>
    </r>
  </si>
  <si>
    <t>Capital Expense</t>
  </si>
  <si>
    <t>Cash In/out</t>
  </si>
  <si>
    <t>Interest</t>
  </si>
  <si>
    <t>Chargeoffs</t>
  </si>
  <si>
    <t>Principal</t>
  </si>
  <si>
    <t>WACC</t>
  </si>
  <si>
    <t>Categories</t>
  </si>
  <si>
    <t>Loan sales</t>
  </si>
  <si>
    <t>Collections</t>
  </si>
  <si>
    <t>Disbursements</t>
  </si>
  <si>
    <t>Ending cash</t>
  </si>
  <si>
    <t>Free cash flow</t>
  </si>
  <si>
    <t>Terminal value</t>
  </si>
  <si>
    <t>Equity value</t>
  </si>
  <si>
    <t>Net fixed assets</t>
  </si>
  <si>
    <t>Credit facility</t>
  </si>
  <si>
    <t>Cost of sales</t>
  </si>
  <si>
    <t>Net earnings</t>
  </si>
  <si>
    <t>Salvage gain/loss</t>
  </si>
  <si>
    <t>Starting cash</t>
  </si>
  <si>
    <t>Fee revenue</t>
  </si>
  <si>
    <t xml:space="preserve">  Avg size </t>
  </si>
  <si>
    <t xml:space="preserve">  Avg term</t>
  </si>
  <si>
    <t xml:space="preserve">  # Loans/m</t>
  </si>
  <si>
    <t xml:space="preserve">  Increase/mo</t>
  </si>
  <si>
    <r>
      <t xml:space="preserve">  Appllicat'n</t>
    </r>
    <r>
      <rPr>
        <sz val="8.5"/>
        <color rgb="FFC00000"/>
        <rFont val="Segoe UI"/>
        <family val="2"/>
      </rPr>
      <t xml:space="preserve"> $</t>
    </r>
  </si>
  <si>
    <t xml:space="preserve">  Origination</t>
  </si>
  <si>
    <t xml:space="preserve">  Servicing/yr</t>
  </si>
  <si>
    <r>
      <t xml:space="preserve">  Referral </t>
    </r>
    <r>
      <rPr>
        <sz val="8.5"/>
        <color rgb="FFC00000"/>
        <rFont val="Segoe UI"/>
        <family val="2"/>
      </rPr>
      <t>$</t>
    </r>
  </si>
  <si>
    <t xml:space="preserve">  Commission</t>
  </si>
  <si>
    <r>
      <t xml:space="preserve">  Processing </t>
    </r>
    <r>
      <rPr>
        <sz val="8.5"/>
        <color rgb="FFC00000"/>
        <rFont val="Segoe UI"/>
        <family val="2"/>
      </rPr>
      <t>$</t>
    </r>
  </si>
  <si>
    <t xml:space="preserve">  Loans sold  </t>
  </si>
  <si>
    <t xml:space="preserve">  Months held </t>
  </si>
  <si>
    <t xml:space="preserve">  Sale premium</t>
  </si>
  <si>
    <t xml:space="preserve">  S/T debt</t>
  </si>
  <si>
    <t xml:space="preserve">  L/T debt</t>
  </si>
  <si>
    <t xml:space="preserve">  Preferred</t>
  </si>
  <si>
    <t xml:space="preserve">  Common</t>
  </si>
  <si>
    <t xml:space="preserve">  Terminal %</t>
  </si>
  <si>
    <t xml:space="preserve">  Delinquncy</t>
  </si>
  <si>
    <t xml:space="preserve">  Charge-off</t>
  </si>
  <si>
    <t xml:space="preserve">  Salary incr</t>
  </si>
  <si>
    <t xml:space="preserve">  Salary load</t>
  </si>
  <si>
    <t xml:space="preserve">  Income tax</t>
  </si>
  <si>
    <t xml:space="preserve">  Min. cash</t>
  </si>
  <si>
    <r>
      <t xml:space="preserve">  Delinq </t>
    </r>
    <r>
      <rPr>
        <sz val="8.5"/>
        <color rgb="FFC00000"/>
        <rFont val="Segoe UI"/>
        <family val="2"/>
      </rPr>
      <t>$</t>
    </r>
  </si>
  <si>
    <t xml:space="preserve">  Loss resrve</t>
  </si>
  <si>
    <t>Outstanding</t>
  </si>
  <si>
    <t>Borrow/repay</t>
  </si>
  <si>
    <t>Ending balance</t>
  </si>
  <si>
    <t>Accum. Deprec.</t>
  </si>
  <si>
    <t>Interest income</t>
  </si>
  <si>
    <t>Operating exp.</t>
  </si>
  <si>
    <t>Cash fr. financing</t>
  </si>
  <si>
    <t>Cash fr. investing</t>
  </si>
  <si>
    <t>Cash fr. operations</t>
  </si>
  <si>
    <t>Profit &amp; Loss</t>
  </si>
  <si>
    <r>
      <rPr>
        <sz val="4"/>
        <color theme="0"/>
        <rFont val="Segoe UI Semibold"/>
        <family val="2"/>
      </rPr>
      <t xml:space="preserve"> </t>
    </r>
    <r>
      <rPr>
        <b/>
        <sz val="8"/>
        <color theme="0"/>
        <rFont val="Segoe UI Semibold"/>
        <family val="2"/>
      </rPr>
      <t>I</t>
    </r>
    <r>
      <rPr>
        <b/>
        <sz val="8"/>
        <color theme="0"/>
        <rFont val="Segoe UI"/>
        <family val="2"/>
      </rPr>
      <t>nfo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</si>
</sst>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(* #,##0.00_);_(* \(#,##0.00\);_(* &quot;-&quot;??_);_(@_)"/>
    <numFmt numFmtId="164" formatCode="#,##0;[Red]#,##0"/>
    <numFmt numFmtId="165" formatCode="#,##0;[Red]\-#,##0"/>
    <numFmt numFmtId="166" formatCode="&quot;m&quot;0"/>
    <numFmt numFmtId="167" formatCode="#,##0.000;[Red]#,##0.000"/>
    <numFmt numFmtId="168" formatCode="&quot;y&quot;0"/>
    <numFmt numFmtId="169" formatCode="&quot;Mo.&quot;General"/>
    <numFmt numFmtId="170" formatCode="0.0%"/>
    <numFmt numFmtId="171" formatCode="0%;[Red]\-0%"/>
    <numFmt numFmtId="172" formatCode="#,##0.0;[Red]\-#,##0.0"/>
    <numFmt numFmtId="173" formatCode="0;[Red]0"/>
    <numFmt numFmtId="174" formatCode="0.0;[Red]0.0"/>
    <numFmt numFmtId="175" formatCode="0.00000;[Red]0.00000"/>
    <numFmt numFmtId="176" formatCode="0.000;[Red]0.000"/>
  </numFmts>
  <fonts count="8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Verdana"/>
      <family val="2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9.5"/>
      <color theme="1"/>
      <name val="Calibri"/>
      <family val="2"/>
      <scheme val="minor"/>
    </font>
    <font>
      <sz val="9"/>
      <color theme="1"/>
      <name val="Segoe UI Variable Display"/>
    </font>
    <font>
      <sz val="8"/>
      <color theme="1"/>
      <name val="Segoe UI Variable Display"/>
    </font>
    <font>
      <sz val="16"/>
      <name val="Calibri"/>
      <family val="2"/>
      <scheme val="minor"/>
    </font>
    <font>
      <sz val="14"/>
      <name val="Calibri"/>
      <family val="2"/>
      <scheme val="minor"/>
    </font>
    <font>
      <sz val="8"/>
      <name val="Segoe UI"/>
      <family val="2"/>
    </font>
    <font>
      <sz val="12"/>
      <name val="Calibri"/>
      <family val="2"/>
      <scheme val="minor"/>
    </font>
    <font>
      <sz val="8"/>
      <color rgb="FF000090"/>
      <name val="Segoe UI"/>
      <family val="2"/>
    </font>
    <font>
      <sz val="12"/>
      <name val="Segoe UI Light"/>
      <family val="2"/>
    </font>
    <font>
      <sz val="8.5"/>
      <color rgb="FF00008A"/>
      <name val="Segoe UI"/>
      <family val="2"/>
    </font>
    <font>
      <u/>
      <sz val="8.5"/>
      <color rgb="FF002060"/>
      <name val="Segoe UI"/>
      <family val="2"/>
    </font>
    <font>
      <sz val="8.5"/>
      <color rgb="FF002060"/>
      <name val="Segoe UI"/>
      <family val="2"/>
    </font>
    <font>
      <sz val="8"/>
      <color rgb="FFC00000"/>
      <name val="Calibri"/>
      <family val="2"/>
      <scheme val="minor"/>
    </font>
    <font>
      <sz val="8"/>
      <color rgb="FF000090"/>
      <name val="Calibri"/>
      <family val="2"/>
      <scheme val="minor"/>
    </font>
    <font>
      <sz val="9.5"/>
      <color rgb="FF000090"/>
      <name val="Segoe UI"/>
      <family val="2"/>
    </font>
    <font>
      <sz val="8.5"/>
      <color rgb="FF000090"/>
      <name val="Segoe UI"/>
      <family val="2"/>
    </font>
    <font>
      <sz val="9.5"/>
      <color rgb="FF000090"/>
      <name val="Calibri"/>
      <family val="2"/>
      <scheme val="minor"/>
    </font>
    <font>
      <sz val="8.5"/>
      <color rgb="FF002060"/>
      <name val="Segoe UI Variable Display Semib"/>
    </font>
    <font>
      <b/>
      <sz val="8.5"/>
      <color rgb="FF000090"/>
      <name val="Segoe UI"/>
      <family val="2"/>
    </font>
    <font>
      <sz val="8"/>
      <color rgb="FF336600"/>
      <name val="Calibri"/>
      <family val="2"/>
      <scheme val="minor"/>
    </font>
    <font>
      <sz val="8.5"/>
      <name val="Segoe UI"/>
      <family val="2"/>
    </font>
    <font>
      <sz val="9.5"/>
      <name val="Calibri"/>
      <family val="2"/>
      <scheme val="minor"/>
    </font>
    <font>
      <sz val="8.5"/>
      <name val="Segoe UI Variable Display Semib"/>
    </font>
    <font>
      <sz val="8.5"/>
      <color rgb="FF000000"/>
      <name val="Segoe UI"/>
      <family val="2"/>
    </font>
    <font>
      <sz val="9.5"/>
      <name val="Segoe UI Light"/>
      <family val="2"/>
    </font>
    <font>
      <sz val="9.5"/>
      <color rgb="FF002060"/>
      <name val="Calibri"/>
      <family val="2"/>
      <scheme val="minor"/>
    </font>
    <font>
      <b/>
      <sz val="8"/>
      <name val="Calibri"/>
      <family val="2"/>
      <scheme val="minor"/>
    </font>
    <font>
      <sz val="8.5"/>
      <color rgb="FFC00000"/>
      <name val="Segoe UI"/>
      <family val="2"/>
    </font>
    <font>
      <sz val="8.5"/>
      <color rgb="FF002060"/>
      <name val="Segoe UI Semibold"/>
      <family val="2"/>
    </font>
    <font>
      <sz val="9"/>
      <name val="Calibri"/>
      <family val="2"/>
      <scheme val="minor"/>
    </font>
    <font>
      <sz val="9.5"/>
      <color rgb="FFFF0000"/>
      <name val="Calibri"/>
      <family val="2"/>
      <scheme val="minor"/>
    </font>
    <font>
      <sz val="10"/>
      <name val="Calibri"/>
      <family val="2"/>
      <scheme val="minor"/>
    </font>
    <font>
      <sz val="9"/>
      <name val="Segoe UI Variable Display"/>
    </font>
    <font>
      <sz val="9"/>
      <name val="Segoe UI Variable Display Semib"/>
    </font>
    <font>
      <b/>
      <sz val="9.5"/>
      <name val="Calibri"/>
      <family val="2"/>
      <scheme val="minor"/>
    </font>
    <font>
      <sz val="13"/>
      <name val="Calibri"/>
      <family val="2"/>
      <scheme val="minor"/>
    </font>
    <font>
      <b/>
      <sz val="9"/>
      <name val="Segoe UI Variable Display"/>
    </font>
    <font>
      <sz val="9"/>
      <color theme="1"/>
      <name val="Segoe UI Variable Display Semib"/>
    </font>
    <font>
      <sz val="9"/>
      <color rgb="FF336600"/>
      <name val="Segoe UI Variable Display Semib"/>
    </font>
    <font>
      <sz val="9"/>
      <name val="Segoe UI Semibold"/>
      <family val="2"/>
    </font>
    <font>
      <b/>
      <sz val="9.5"/>
      <color theme="1"/>
      <name val="Calibri"/>
      <family val="2"/>
      <scheme val="minor"/>
    </font>
    <font>
      <b/>
      <sz val="9"/>
      <color theme="1"/>
      <name val="Segoe UI Variable Display"/>
    </font>
    <font>
      <sz val="9"/>
      <color theme="1"/>
      <name val="Calibri"/>
      <family val="2"/>
      <scheme val="minor"/>
    </font>
    <font>
      <sz val="10"/>
      <color theme="1"/>
      <name val="Segoe UI Variable Display Semib"/>
    </font>
    <font>
      <sz val="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.5"/>
      <name val="Segoe UI Variable Display"/>
    </font>
    <font>
      <b/>
      <sz val="9.5"/>
      <name val="Segoe UI Variable Display Semib"/>
    </font>
    <font>
      <sz val="8"/>
      <name val="Segoe UI Variable Display"/>
    </font>
    <font>
      <b/>
      <sz val="10"/>
      <name val="Calibri"/>
      <family val="2"/>
      <scheme val="minor"/>
    </font>
    <font>
      <sz val="9"/>
      <name val="Segoe UI"/>
      <family val="2"/>
    </font>
    <font>
      <sz val="9"/>
      <name val="Segoe UI Light"/>
      <family val="2"/>
    </font>
    <font>
      <b/>
      <sz val="9"/>
      <name val="Calibri"/>
      <family val="2"/>
      <scheme val="minor"/>
    </font>
    <font>
      <sz val="6"/>
      <name val="Calibri"/>
      <family val="2"/>
      <scheme val="minor"/>
    </font>
    <font>
      <sz val="6"/>
      <color rgb="FF002060"/>
      <name val="Calibri"/>
      <family val="2"/>
      <scheme val="minor"/>
    </font>
    <font>
      <b/>
      <sz val="6"/>
      <color rgb="FF002060"/>
      <name val="Calibri"/>
      <family val="2"/>
      <scheme val="minor"/>
    </font>
    <font>
      <sz val="5"/>
      <color theme="1"/>
      <name val="Calibri"/>
      <family val="2"/>
      <scheme val="minor"/>
    </font>
    <font>
      <sz val="11"/>
      <color theme="1"/>
      <name val="Segoe UI Variable Display"/>
    </font>
    <font>
      <sz val="9.5"/>
      <color theme="1"/>
      <name val="Calibri"/>
      <family val="2"/>
    </font>
    <font>
      <b/>
      <sz val="9.5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rgb="FF009041"/>
      <name val="Calibri"/>
      <family val="2"/>
      <scheme val="minor"/>
    </font>
    <font>
      <sz val="7"/>
      <color rgb="FF00A44A"/>
      <name val="Segoe UI Variable Display"/>
    </font>
    <font>
      <sz val="9"/>
      <color rgb="FFFF0000"/>
      <name val="Segoe UI Variable Display"/>
    </font>
    <font>
      <b/>
      <sz val="10"/>
      <color theme="1"/>
      <name val="Segoe UI Semibold"/>
      <family val="2"/>
    </font>
    <font>
      <sz val="9.5"/>
      <color theme="1"/>
      <name val="Segoe UI"/>
      <family val="2"/>
    </font>
    <font>
      <sz val="8.5"/>
      <color theme="0" tint="-0.34998626667073579"/>
      <name val="Segoe UI"/>
      <family val="2"/>
    </font>
    <font>
      <sz val="8"/>
      <color theme="0" tint="-0.34998626667073579"/>
      <name val="Calibri"/>
      <family val="2"/>
      <scheme val="minor"/>
    </font>
    <font>
      <sz val="9.5"/>
      <color theme="0" tint="-0.34998626667073579"/>
      <name val="Segoe UI Light"/>
      <family val="2"/>
    </font>
    <font>
      <sz val="9"/>
      <color indexed="81"/>
      <name val="Tahoma"/>
      <family val="2"/>
    </font>
    <font>
      <sz val="8.5"/>
      <name val="Segoe UI Semibold"/>
      <family val="2"/>
    </font>
    <font>
      <b/>
      <sz val="9"/>
      <color indexed="81"/>
      <name val="Tahoma"/>
      <family val="2"/>
    </font>
    <font>
      <b/>
      <sz val="8"/>
      <color theme="0"/>
      <name val="Segoe UI"/>
      <family val="2"/>
    </font>
    <font>
      <sz val="4"/>
      <color theme="0"/>
      <name val="Segoe UI Semibold"/>
      <family val="2"/>
    </font>
    <font>
      <b/>
      <sz val="8"/>
      <color theme="0"/>
      <name val="Segoe UI Semibold"/>
      <family val="2"/>
    </font>
  </fonts>
  <fills count="2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5F6F9"/>
        <bgColor indexed="64"/>
      </patternFill>
    </fill>
    <fill>
      <patternFill patternType="solid">
        <fgColor rgb="FFFFFFEB"/>
        <bgColor indexed="64"/>
      </patternFill>
    </fill>
    <fill>
      <patternFill patternType="solid">
        <fgColor rgb="FFEFF1F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7EAE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3F3"/>
        <bgColor indexed="64"/>
      </patternFill>
    </fill>
    <fill>
      <patternFill patternType="solid">
        <fgColor rgb="FFF0F7F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8EBF0"/>
        <bgColor indexed="64"/>
      </patternFill>
    </fill>
    <fill>
      <patternFill patternType="solid">
        <fgColor rgb="FFF3F8FD"/>
        <bgColor indexed="64"/>
      </patternFill>
    </fill>
    <fill>
      <patternFill patternType="solid">
        <fgColor rgb="FFEEF5E9"/>
        <bgColor indexed="64"/>
      </patternFill>
    </fill>
    <fill>
      <patternFill patternType="solid">
        <fgColor rgb="FFFEF5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00000"/>
        <bgColor indexed="64"/>
      </patternFill>
    </fill>
  </fills>
  <borders count="1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theme="0" tint="-0.24994659260841701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D9D9D9"/>
      </right>
      <top/>
      <bottom style="thin">
        <color indexed="64"/>
      </bottom>
      <diagonal/>
    </border>
    <border>
      <left style="thin">
        <color rgb="FFD9D9D9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theme="0" tint="-0.34998626667073579"/>
      </left>
      <right style="hair">
        <color rgb="FFD9D9D9"/>
      </right>
      <top/>
      <bottom style="thin">
        <color indexed="64"/>
      </bottom>
      <diagonal/>
    </border>
    <border>
      <left style="hair">
        <color rgb="FFD9D9D9"/>
      </left>
      <right style="hair">
        <color theme="0" tint="-0.34998626667073579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rgb="FFD9D9D9"/>
      </right>
      <top/>
      <bottom style="thin">
        <color indexed="64"/>
      </bottom>
      <diagonal/>
    </border>
    <border>
      <left style="hair">
        <color rgb="FFD9D9D9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rgb="FFD9D9D9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theme="0" tint="-0.14996795556505021"/>
      </right>
      <top/>
      <bottom style="hair">
        <color theme="0" tint="-0.14996795556505021"/>
      </bottom>
      <diagonal/>
    </border>
    <border>
      <left style="hair">
        <color rgb="FFD9D9D9"/>
      </left>
      <right/>
      <top/>
      <bottom style="hair">
        <color rgb="FFD9D9D9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theme="0" tint="-0.14996795556505021"/>
      </left>
      <right/>
      <top/>
      <bottom style="hair">
        <color theme="0" tint="-0.14996795556505021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rgb="FFD9D9D9"/>
      </right>
      <top/>
      <bottom style="hair">
        <color rgb="FFD9D9D9"/>
      </bottom>
      <diagonal/>
    </border>
    <border>
      <left style="hair">
        <color rgb="FF808080"/>
      </left>
      <right/>
      <top/>
      <bottom style="hair">
        <color rgb="FFD9D9D9"/>
      </bottom>
      <diagonal/>
    </border>
    <border>
      <left style="hair">
        <color rgb="FF808080"/>
      </left>
      <right style="hair">
        <color rgb="FFD9D9D9"/>
      </right>
      <top/>
      <bottom style="hair">
        <color rgb="FFD9D9D9"/>
      </bottom>
      <diagonal/>
    </border>
    <border>
      <left style="thin">
        <color indexed="64"/>
      </left>
      <right style="hair">
        <color rgb="FFD9D9D9"/>
      </right>
      <top style="thin">
        <color auto="1"/>
      </top>
      <bottom style="hair">
        <color rgb="FFD9D9D9"/>
      </bottom>
      <diagonal/>
    </border>
    <border>
      <left style="hair">
        <color rgb="FFD9D9D9"/>
      </left>
      <right style="hair">
        <color rgb="FFD9D9D9"/>
      </right>
      <top style="thin">
        <color auto="1"/>
      </top>
      <bottom style="hair">
        <color rgb="FFD9D9D9"/>
      </bottom>
      <diagonal/>
    </border>
    <border>
      <left style="hair">
        <color rgb="FFD9D9D9"/>
      </left>
      <right style="thin">
        <color indexed="64"/>
      </right>
      <top style="thin">
        <color auto="1"/>
      </top>
      <bottom style="hair">
        <color rgb="FFD9D9D9"/>
      </bottom>
      <diagonal/>
    </border>
    <border>
      <left style="hair">
        <color rgb="FFD9D9D9"/>
      </left>
      <right/>
      <top style="thin">
        <color auto="1"/>
      </top>
      <bottom style="hair">
        <color rgb="FFD9D9D9"/>
      </bottom>
      <diagonal/>
    </border>
    <border>
      <left style="hair">
        <color rgb="FF808080"/>
      </left>
      <right style="thin">
        <color indexed="64"/>
      </right>
      <top style="thin">
        <color auto="1"/>
      </top>
      <bottom style="hair">
        <color rgb="FFD9D9D9"/>
      </bottom>
      <diagonal/>
    </border>
    <border>
      <left/>
      <right style="thin">
        <color indexed="64"/>
      </right>
      <top/>
      <bottom style="hair">
        <color theme="0" tint="-0.14996795556505021"/>
      </bottom>
      <diagonal/>
    </border>
    <border>
      <left style="hair">
        <color indexed="64"/>
      </left>
      <right style="thin">
        <color indexed="64"/>
      </right>
      <top style="thin">
        <color rgb="FFD9D9D9"/>
      </top>
      <bottom style="thin">
        <color rgb="FFD9D9D9"/>
      </bottom>
      <diagonal/>
    </border>
    <border>
      <left style="thin">
        <color indexed="64"/>
      </left>
      <right/>
      <top/>
      <bottom style="hair">
        <color theme="0" tint="-0.14996795556505021"/>
      </bottom>
      <diagonal/>
    </border>
    <border>
      <left style="hair">
        <color rgb="FFD9D9D9"/>
      </left>
      <right style="hair">
        <color theme="0" tint="-0.14996795556505021"/>
      </right>
      <top style="hair">
        <color theme="0" tint="-0.14996795556505021"/>
      </top>
      <bottom style="hair">
        <color theme="0" tint="-0.14996795556505021"/>
      </bottom>
      <diagonal/>
    </border>
    <border>
      <left style="hair">
        <color rgb="FFD9D9D9"/>
      </left>
      <right/>
      <top style="hair">
        <color rgb="FFD9D9D9"/>
      </top>
      <bottom style="hair">
        <color rgb="FFD9D9D9"/>
      </bottom>
      <diagonal/>
    </border>
    <border>
      <left style="hair">
        <color theme="0" tint="-0.14996795556505021"/>
      </left>
      <right/>
      <top style="hair">
        <color theme="0" tint="-0.14996795556505021"/>
      </top>
      <bottom/>
      <diagonal/>
    </border>
    <border>
      <left style="hair">
        <color theme="0" tint="-0.14996795556505021"/>
      </left>
      <right/>
      <top/>
      <bottom/>
      <diagonal/>
    </border>
    <border>
      <left style="thin">
        <color indexed="64"/>
      </left>
      <right style="hair">
        <color rgb="FFD9D9D9"/>
      </right>
      <top style="hair">
        <color rgb="FFD9D9D9"/>
      </top>
      <bottom style="hair">
        <color rgb="FFD9D9D9"/>
      </bottom>
      <diagonal/>
    </border>
    <border>
      <left style="hair">
        <color rgb="FF808080"/>
      </left>
      <right/>
      <top style="hair">
        <color rgb="FFD9D9D9"/>
      </top>
      <bottom style="hair">
        <color rgb="FFD9D9D9"/>
      </bottom>
      <diagonal/>
    </border>
    <border>
      <left style="hair">
        <color rgb="FF808080"/>
      </left>
      <right style="hair">
        <color rgb="FFD9D9D9"/>
      </right>
      <top style="hair">
        <color rgb="FFD9D9D9"/>
      </top>
      <bottom style="hair">
        <color rgb="FFD9D9D9"/>
      </bottom>
      <diagonal/>
    </border>
    <border>
      <left style="hair">
        <color rgb="FFD9D9D9"/>
      </left>
      <right style="hair">
        <color rgb="FFD9D9D9"/>
      </right>
      <top style="hair">
        <color rgb="FFD9D9D9"/>
      </top>
      <bottom style="hair">
        <color rgb="FFD9D9D9"/>
      </bottom>
      <diagonal/>
    </border>
    <border>
      <left style="hair">
        <color rgb="FFD9D9D9"/>
      </left>
      <right style="thin">
        <color indexed="64"/>
      </right>
      <top style="hair">
        <color rgb="FFD9D9D9"/>
      </top>
      <bottom style="hair">
        <color rgb="FFD9D9D9"/>
      </bottom>
      <diagonal/>
    </border>
    <border>
      <left style="hair">
        <color rgb="FF808080"/>
      </left>
      <right style="thin">
        <color indexed="64"/>
      </right>
      <top style="hair">
        <color rgb="FFD9D9D9"/>
      </top>
      <bottom style="hair">
        <color rgb="FFD9D9D9"/>
      </bottom>
      <diagonal/>
    </border>
    <border>
      <left style="thin">
        <color indexed="64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hair">
        <color rgb="FFD9D9D9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hair">
        <color theme="0" tint="-0.14990691854609822"/>
      </left>
      <right/>
      <top style="hair">
        <color theme="0" tint="-0.14990691854609822"/>
      </top>
      <bottom style="hair">
        <color theme="0" tint="-0.14993743705557422"/>
      </bottom>
      <diagonal/>
    </border>
    <border>
      <left style="hair">
        <color theme="0" tint="-0.14996795556505021"/>
      </left>
      <right style="hair">
        <color theme="0" tint="-0.14996795556505021"/>
      </right>
      <top style="hair">
        <color theme="0" tint="-0.14996795556505021"/>
      </top>
      <bottom style="hair">
        <color theme="0" tint="-0.14996795556505021"/>
      </bottom>
      <diagonal/>
    </border>
    <border>
      <left/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rgb="FFD9D9D9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rgb="FFD9D9D9"/>
      </top>
      <bottom style="thin">
        <color indexed="64"/>
      </bottom>
      <diagonal/>
    </border>
    <border>
      <left style="thin">
        <color indexed="64"/>
      </left>
      <right style="hair">
        <color rgb="FFD9D9D9"/>
      </right>
      <top style="hair">
        <color rgb="FFD9D9D9"/>
      </top>
      <bottom/>
      <diagonal/>
    </border>
    <border>
      <left style="hair">
        <color rgb="FFD9D9D9"/>
      </left>
      <right/>
      <top style="hair">
        <color rgb="FFD9D9D9"/>
      </top>
      <bottom/>
      <diagonal/>
    </border>
    <border>
      <left style="hair">
        <color rgb="FF808080"/>
      </left>
      <right/>
      <top style="hair">
        <color rgb="FFD9D9D9"/>
      </top>
      <bottom/>
      <diagonal/>
    </border>
    <border>
      <left style="hair">
        <color rgb="FF808080"/>
      </left>
      <right style="hair">
        <color rgb="FFD9D9D9"/>
      </right>
      <top style="hair">
        <color rgb="FFD9D9D9"/>
      </top>
      <bottom/>
      <diagonal/>
    </border>
    <border>
      <left style="hair">
        <color rgb="FFD9D9D9"/>
      </left>
      <right style="hair">
        <color rgb="FFD9D9D9"/>
      </right>
      <top style="hair">
        <color rgb="FFD9D9D9"/>
      </top>
      <bottom/>
      <diagonal/>
    </border>
    <border>
      <left style="hair">
        <color rgb="FFD9D9D9"/>
      </left>
      <right style="thin">
        <color indexed="64"/>
      </right>
      <top style="hair">
        <color rgb="FFD9D9D9"/>
      </top>
      <bottom/>
      <diagonal/>
    </border>
    <border>
      <left style="thin">
        <color indexed="64"/>
      </left>
      <right/>
      <top style="hair">
        <color theme="0" tint="-0.14996795556505021"/>
      </top>
      <bottom style="thin">
        <color indexed="64"/>
      </bottom>
      <diagonal/>
    </border>
    <border>
      <left style="hair">
        <color rgb="FFD9D9D9"/>
      </left>
      <right style="hair">
        <color theme="0" tint="-0.14996795556505021"/>
      </right>
      <top style="hair">
        <color theme="0" tint="-0.14996795556505021"/>
      </top>
      <bottom style="thin">
        <color indexed="64"/>
      </bottom>
      <diagonal/>
    </border>
    <border>
      <left style="hair">
        <color rgb="FFD9D9D9"/>
      </left>
      <right/>
      <top style="hair">
        <color rgb="FFD9D9D9"/>
      </top>
      <bottom style="thin">
        <color indexed="64"/>
      </bottom>
      <diagonal/>
    </border>
    <border>
      <left style="hair">
        <color rgb="FF808080"/>
      </left>
      <right style="hair">
        <color rgb="FFD9D9D9"/>
      </right>
      <top style="hair">
        <color rgb="FFD9D9D9"/>
      </top>
      <bottom style="thin">
        <color indexed="64"/>
      </bottom>
      <diagonal/>
    </border>
    <border>
      <left style="hair">
        <color rgb="FFD9D9D9"/>
      </left>
      <right/>
      <top style="hair">
        <color theme="0" tint="-0.14996795556505021"/>
      </top>
      <bottom style="thin">
        <color indexed="64"/>
      </bottom>
      <diagonal/>
    </border>
    <border>
      <left style="hair">
        <color theme="0" tint="-0.14990691854609822"/>
      </left>
      <right/>
      <top style="hair">
        <color theme="0" tint="-0.14990691854609822"/>
      </top>
      <bottom style="thin">
        <color indexed="64"/>
      </bottom>
      <diagonal/>
    </border>
    <border>
      <left style="thin">
        <color indexed="64"/>
      </left>
      <right style="hair">
        <color rgb="FFD9D9D9"/>
      </right>
      <top style="hair">
        <color rgb="FFD9D9D9"/>
      </top>
      <bottom style="thin">
        <color indexed="64"/>
      </bottom>
      <diagonal/>
    </border>
    <border>
      <left style="hair">
        <color rgb="FF808080"/>
      </left>
      <right/>
      <top style="hair">
        <color rgb="FFD9D9D9"/>
      </top>
      <bottom style="thin">
        <color indexed="64"/>
      </bottom>
      <diagonal/>
    </border>
    <border>
      <left style="hair">
        <color rgb="FFD9D9D9"/>
      </left>
      <right style="hair">
        <color rgb="FFD9D9D9"/>
      </right>
      <top style="hair">
        <color rgb="FFD9D9D9"/>
      </top>
      <bottom style="thin">
        <color indexed="64"/>
      </bottom>
      <diagonal/>
    </border>
    <border>
      <left style="hair">
        <color rgb="FFD9D9D9"/>
      </left>
      <right style="thin">
        <color indexed="64"/>
      </right>
      <top style="hair">
        <color rgb="FFD9D9D9"/>
      </top>
      <bottom style="thin">
        <color indexed="64"/>
      </bottom>
      <diagonal/>
    </border>
    <border>
      <left style="hair">
        <color rgb="FF808080"/>
      </left>
      <right style="thin">
        <color indexed="64"/>
      </right>
      <top style="hair">
        <color rgb="FFD9D9D9"/>
      </top>
      <bottom style="thin">
        <color indexed="64"/>
      </bottom>
      <diagonal/>
    </border>
    <border>
      <left style="hair">
        <color theme="0" tint="-0.14996795556505021"/>
      </left>
      <right style="hair">
        <color theme="0" tint="-0.14996795556505021"/>
      </right>
      <top style="hair">
        <color theme="0" tint="-0.14996795556505021"/>
      </top>
      <bottom style="thin">
        <color indexed="64"/>
      </bottom>
      <diagonal/>
    </border>
    <border>
      <left/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/>
      <right/>
      <top/>
      <bottom style="thin">
        <color rgb="FFA6A6A6"/>
      </bottom>
      <diagonal/>
    </border>
    <border>
      <left style="thin">
        <color indexed="64"/>
      </left>
      <right/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rgb="FFD9D9D9"/>
      </right>
      <top style="hair">
        <color theme="0" tint="-0.14996795556505021"/>
      </top>
      <bottom/>
      <diagonal/>
    </border>
    <border>
      <left style="thin">
        <color indexed="64"/>
      </left>
      <right style="hair">
        <color rgb="FFD9D9D9"/>
      </right>
      <top/>
      <bottom style="hair">
        <color theme="0" tint="-0.14996795556505021"/>
      </bottom>
      <diagonal/>
    </border>
    <border>
      <left style="hair">
        <color rgb="FFD9D9D9"/>
      </left>
      <right style="hair">
        <color rgb="FFD9D9D9"/>
      </right>
      <top style="hair">
        <color theme="0" tint="-0.14996795556505021"/>
      </top>
      <bottom/>
      <diagonal/>
    </border>
    <border>
      <left style="hair">
        <color rgb="FFD9D9D9"/>
      </left>
      <right style="hair">
        <color rgb="FFD9D9D9"/>
      </right>
      <top/>
      <bottom style="hair">
        <color theme="0" tint="-0.14996795556505021"/>
      </bottom>
      <diagonal/>
    </border>
    <border>
      <left style="hair">
        <color rgb="FFD9D9D9"/>
      </left>
      <right style="hair">
        <color rgb="FF808080"/>
      </right>
      <top style="hair">
        <color rgb="FFD9D9D9"/>
      </top>
      <bottom/>
      <diagonal/>
    </border>
    <border>
      <left style="hair">
        <color rgb="FFD9D9D9"/>
      </left>
      <right style="hair">
        <color rgb="FF808080"/>
      </right>
      <top/>
      <bottom style="hair">
        <color rgb="FFD9D9D9"/>
      </bottom>
      <diagonal/>
    </border>
    <border>
      <left style="hair">
        <color rgb="FFD9D9D9"/>
      </left>
      <right style="hair">
        <color theme="0" tint="-0.14990691854609822"/>
      </right>
      <top style="hair">
        <color theme="0" tint="-0.14996795556505021"/>
      </top>
      <bottom/>
      <diagonal/>
    </border>
    <border>
      <left style="hair">
        <color rgb="FFD9D9D9"/>
      </left>
      <right style="hair">
        <color theme="0" tint="-0.14990691854609822"/>
      </right>
      <top/>
      <bottom style="hair">
        <color theme="0" tint="-0.14996795556505021"/>
      </bottom>
      <diagonal/>
    </border>
    <border>
      <left style="hair">
        <color theme="0" tint="-0.14990691854609822"/>
      </left>
      <right style="hair">
        <color theme="0" tint="-0.14990691854609822"/>
      </right>
      <top style="hair">
        <color theme="0" tint="-0.14993743705557422"/>
      </top>
      <bottom/>
      <diagonal/>
    </border>
    <border>
      <left style="hair">
        <color theme="0" tint="-0.14990691854609822"/>
      </left>
      <right style="hair">
        <color theme="0" tint="-0.14990691854609822"/>
      </right>
      <top/>
      <bottom style="hair">
        <color theme="0" tint="-0.14990691854609822"/>
      </bottom>
      <diagonal/>
    </border>
    <border>
      <left style="hair">
        <color theme="0" tint="-0.14990691854609822"/>
      </left>
      <right style="thin">
        <color indexed="64"/>
      </right>
      <top style="hair">
        <color theme="0" tint="-0.14993743705557422"/>
      </top>
      <bottom/>
      <diagonal/>
    </border>
    <border>
      <left style="hair">
        <color theme="0" tint="-0.14990691854609822"/>
      </left>
      <right style="thin">
        <color indexed="64"/>
      </right>
      <top/>
      <bottom style="hair">
        <color theme="0" tint="-0.14990691854609822"/>
      </bottom>
      <diagonal/>
    </border>
    <border>
      <left style="hair">
        <color rgb="FFD9D9D9"/>
      </left>
      <right/>
      <top/>
      <bottom/>
      <diagonal/>
    </border>
    <border>
      <left style="hair">
        <color rgb="FFD9D9D9"/>
      </left>
      <right style="hair">
        <color rgb="FFD9D9D9"/>
      </right>
      <top/>
      <bottom style="hair">
        <color rgb="FFD9D9D9"/>
      </bottom>
      <diagonal/>
    </border>
    <border>
      <left style="hair">
        <color rgb="FFD9D9D9"/>
      </left>
      <right style="thin">
        <color indexed="64"/>
      </right>
      <top/>
      <bottom style="hair">
        <color rgb="FFD9D9D9"/>
      </bottom>
      <diagonal/>
    </border>
    <border>
      <left style="thin">
        <color indexed="64"/>
      </left>
      <right style="hair">
        <color rgb="FF808080"/>
      </right>
      <top style="hair">
        <color rgb="FFD9D9D9"/>
      </top>
      <bottom/>
      <diagonal/>
    </border>
    <border>
      <left style="thin">
        <color indexed="64"/>
      </left>
      <right style="hair">
        <color rgb="FF808080"/>
      </right>
      <top/>
      <bottom style="hair">
        <color rgb="FFD9D9D9"/>
      </bottom>
      <diagonal/>
    </border>
    <border>
      <left style="hair">
        <color rgb="FF808080"/>
      </left>
      <right style="thin">
        <color indexed="64"/>
      </right>
      <top style="hair">
        <color rgb="FFD9D9D9"/>
      </top>
      <bottom/>
      <diagonal/>
    </border>
    <border>
      <left style="hair">
        <color rgb="FF808080"/>
      </left>
      <right style="thin">
        <color indexed="64"/>
      </right>
      <top/>
      <bottom style="hair">
        <color rgb="FFD9D9D9"/>
      </bottom>
      <diagonal/>
    </border>
    <border>
      <left style="thin">
        <color indexed="64"/>
      </left>
      <right style="hair">
        <color theme="0" tint="-0.14996795556505021"/>
      </right>
      <top style="hair">
        <color theme="0" tint="-0.14996795556505021"/>
      </top>
      <bottom/>
      <diagonal/>
    </border>
    <border>
      <left style="thin">
        <color indexed="64"/>
      </left>
      <right style="hair">
        <color theme="0" tint="-0.14996795556505021"/>
      </right>
      <top/>
      <bottom style="hair">
        <color theme="0" tint="-0.14996795556505021"/>
      </bottom>
      <diagonal/>
    </border>
    <border>
      <left style="hair">
        <color theme="0" tint="-0.14996795556505021"/>
      </left>
      <right style="hair">
        <color theme="0" tint="-0.14996795556505021"/>
      </right>
      <top style="hair">
        <color theme="0" tint="-0.14996795556505021"/>
      </top>
      <bottom/>
      <diagonal/>
    </border>
    <border>
      <left style="hair">
        <color theme="0" tint="-0.14996795556505021"/>
      </left>
      <right style="hair">
        <color theme="0" tint="-0.14996795556505021"/>
      </right>
      <top/>
      <bottom style="hair">
        <color theme="0" tint="-0.14996795556505021"/>
      </bottom>
      <diagonal/>
    </border>
    <border>
      <left style="hair">
        <color theme="0" tint="-0.14996795556505021"/>
      </left>
      <right style="thin">
        <color indexed="64"/>
      </right>
      <top style="hair">
        <color theme="0" tint="-0.14996795556505021"/>
      </top>
      <bottom/>
      <diagonal/>
    </border>
    <border>
      <left style="hair">
        <color theme="0" tint="-0.14996795556505021"/>
      </left>
      <right style="thin">
        <color indexed="64"/>
      </right>
      <top/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2" borderId="1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503">
    <xf numFmtId="0" fontId="0" fillId="0" borderId="0" xfId="0"/>
    <xf numFmtId="0" fontId="3" fillId="3" borderId="0" xfId="3" applyFont="1" applyFill="1" applyProtection="1">
      <protection hidden="1"/>
    </xf>
    <xf numFmtId="164" fontId="4" fillId="3" borderId="0" xfId="0" applyNumberFormat="1" applyFont="1" applyFill="1" applyAlignment="1" applyProtection="1">
      <alignment horizontal="right"/>
      <protection hidden="1"/>
    </xf>
    <xf numFmtId="165" fontId="3" fillId="3" borderId="0" xfId="0" applyNumberFormat="1" applyFont="1" applyFill="1" applyAlignment="1" applyProtection="1">
      <alignment horizontal="right"/>
      <protection hidden="1"/>
    </xf>
    <xf numFmtId="165" fontId="5" fillId="3" borderId="0" xfId="0" applyNumberFormat="1" applyFont="1" applyFill="1" applyProtection="1">
      <protection hidden="1"/>
    </xf>
    <xf numFmtId="165" fontId="6" fillId="3" borderId="0" xfId="0" applyNumberFormat="1" applyFont="1" applyFill="1" applyAlignment="1" applyProtection="1">
      <alignment horizontal="right"/>
      <protection hidden="1"/>
    </xf>
    <xf numFmtId="164" fontId="3" fillId="3" borderId="0" xfId="0" applyNumberFormat="1" applyFont="1" applyFill="1" applyAlignment="1" applyProtection="1">
      <alignment horizontal="right"/>
      <protection hidden="1"/>
    </xf>
    <xf numFmtId="164" fontId="8" fillId="0" borderId="0" xfId="3" applyNumberFormat="1" applyFont="1" applyProtection="1">
      <protection hidden="1"/>
    </xf>
    <xf numFmtId="164" fontId="9" fillId="0" borderId="0" xfId="3" applyNumberFormat="1" applyFont="1" applyAlignment="1" applyProtection="1">
      <alignment vertical="center"/>
      <protection hidden="1"/>
    </xf>
    <xf numFmtId="166" fontId="9" fillId="0" borderId="0" xfId="3" applyNumberFormat="1" applyFont="1" applyAlignment="1" applyProtection="1">
      <alignment horizontal="center"/>
      <protection hidden="1"/>
    </xf>
    <xf numFmtId="0" fontId="4" fillId="0" borderId="0" xfId="3" applyFont="1" applyAlignment="1" applyProtection="1">
      <alignment horizontal="center" vertical="center"/>
      <protection hidden="1"/>
    </xf>
    <xf numFmtId="0" fontId="12" fillId="3" borderId="0" xfId="3" applyFont="1" applyFill="1" applyAlignment="1" applyProtection="1">
      <alignment horizontal="center"/>
      <protection hidden="1"/>
    </xf>
    <xf numFmtId="164" fontId="13" fillId="0" borderId="0" xfId="3" applyNumberFormat="1" applyFont="1" applyAlignment="1" applyProtection="1">
      <alignment horizontal="center" vertical="center"/>
      <protection hidden="1"/>
    </xf>
    <xf numFmtId="0" fontId="11" fillId="0" borderId="0" xfId="3" applyFont="1" applyAlignment="1" applyProtection="1">
      <alignment vertical="center"/>
      <protection hidden="1"/>
    </xf>
    <xf numFmtId="164" fontId="4" fillId="3" borderId="0" xfId="3" applyNumberFormat="1" applyFont="1" applyFill="1" applyAlignment="1" applyProtection="1">
      <alignment horizontal="right"/>
      <protection hidden="1"/>
    </xf>
    <xf numFmtId="0" fontId="14" fillId="3" borderId="3" xfId="0" applyFont="1" applyFill="1" applyBorder="1" applyAlignment="1" applyProtection="1">
      <alignment horizontal="center"/>
      <protection hidden="1"/>
    </xf>
    <xf numFmtId="164" fontId="16" fillId="3" borderId="3" xfId="3" applyNumberFormat="1" applyFont="1" applyFill="1" applyBorder="1" applyAlignment="1" applyProtection="1">
      <alignment horizontal="left" vertical="center"/>
      <protection hidden="1"/>
    </xf>
    <xf numFmtId="164" fontId="16" fillId="3" borderId="4" xfId="3" applyNumberFormat="1" applyFont="1" applyFill="1" applyBorder="1" applyAlignment="1" applyProtection="1">
      <alignment vertical="center"/>
      <protection hidden="1"/>
    </xf>
    <xf numFmtId="164" fontId="16" fillId="3" borderId="5" xfId="3" applyNumberFormat="1" applyFont="1" applyFill="1" applyBorder="1" applyAlignment="1" applyProtection="1">
      <alignment horizontal="center"/>
      <protection hidden="1"/>
    </xf>
    <xf numFmtId="164" fontId="18" fillId="0" borderId="0" xfId="3" applyNumberFormat="1" applyFont="1" applyAlignment="1" applyProtection="1">
      <alignment horizontal="center"/>
      <protection hidden="1"/>
    </xf>
    <xf numFmtId="164" fontId="16" fillId="3" borderId="3" xfId="3" applyNumberFormat="1" applyFont="1" applyFill="1" applyBorder="1" applyAlignment="1" applyProtection="1">
      <alignment horizontal="left"/>
      <protection hidden="1"/>
    </xf>
    <xf numFmtId="0" fontId="16" fillId="3" borderId="3" xfId="0" applyFont="1" applyFill="1" applyBorder="1" applyProtection="1">
      <protection hidden="1"/>
    </xf>
    <xf numFmtId="0" fontId="16" fillId="3" borderId="4" xfId="0" applyFont="1" applyFill="1" applyBorder="1" applyProtection="1">
      <protection hidden="1"/>
    </xf>
    <xf numFmtId="164" fontId="19" fillId="0" borderId="0" xfId="3" applyNumberFormat="1" applyFont="1" applyAlignment="1" applyProtection="1">
      <alignment horizontal="center"/>
      <protection hidden="1"/>
    </xf>
    <xf numFmtId="0" fontId="20" fillId="0" borderId="3" xfId="3" applyFont="1" applyBorder="1" applyAlignment="1" applyProtection="1">
      <alignment horizontal="center"/>
      <protection hidden="1"/>
    </xf>
    <xf numFmtId="0" fontId="20" fillId="0" borderId="4" xfId="3" applyFont="1" applyBorder="1" applyAlignment="1" applyProtection="1">
      <alignment horizontal="center"/>
      <protection hidden="1"/>
    </xf>
    <xf numFmtId="0" fontId="20" fillId="0" borderId="5" xfId="3" applyFont="1" applyBorder="1" applyAlignment="1" applyProtection="1">
      <alignment horizontal="center"/>
      <protection hidden="1"/>
    </xf>
    <xf numFmtId="0" fontId="21" fillId="0" borderId="0" xfId="3" applyFont="1" applyProtection="1">
      <protection hidden="1"/>
    </xf>
    <xf numFmtId="0" fontId="21" fillId="0" borderId="0" xfId="3" applyFont="1" applyAlignment="1" applyProtection="1">
      <alignment vertical="center"/>
      <protection hidden="1"/>
    </xf>
    <xf numFmtId="164" fontId="14" fillId="3" borderId="9" xfId="3" applyNumberFormat="1" applyFont="1" applyFill="1" applyBorder="1" applyAlignment="1" applyProtection="1">
      <alignment horizontal="center"/>
      <protection hidden="1"/>
    </xf>
    <xf numFmtId="164" fontId="16" fillId="3" borderId="2" xfId="0" applyNumberFormat="1" applyFont="1" applyFill="1" applyBorder="1" applyAlignment="1" applyProtection="1">
      <alignment horizontal="center"/>
      <protection hidden="1"/>
    </xf>
    <xf numFmtId="164" fontId="16" fillId="3" borderId="10" xfId="0" applyNumberFormat="1" applyFont="1" applyFill="1" applyBorder="1" applyAlignment="1" applyProtection="1">
      <alignment horizontal="center"/>
      <protection hidden="1"/>
    </xf>
    <xf numFmtId="164" fontId="16" fillId="3" borderId="11" xfId="3" applyNumberFormat="1" applyFont="1" applyFill="1" applyBorder="1" applyAlignment="1" applyProtection="1">
      <alignment horizontal="center"/>
      <protection hidden="1"/>
    </xf>
    <xf numFmtId="164" fontId="16" fillId="3" borderId="12" xfId="0" applyNumberFormat="1" applyFont="1" applyFill="1" applyBorder="1" applyAlignment="1" applyProtection="1">
      <alignment horizontal="center"/>
      <protection hidden="1"/>
    </xf>
    <xf numFmtId="0" fontId="16" fillId="3" borderId="13" xfId="0" applyFont="1" applyFill="1" applyBorder="1" applyAlignment="1" applyProtection="1">
      <alignment horizontal="center"/>
      <protection hidden="1"/>
    </xf>
    <xf numFmtId="164" fontId="16" fillId="3" borderId="9" xfId="0" applyNumberFormat="1" applyFont="1" applyFill="1" applyBorder="1" applyProtection="1">
      <protection hidden="1"/>
    </xf>
    <xf numFmtId="0" fontId="16" fillId="3" borderId="14" xfId="0" applyFont="1" applyFill="1" applyBorder="1" applyAlignment="1" applyProtection="1">
      <alignment horizontal="center"/>
      <protection hidden="1"/>
    </xf>
    <xf numFmtId="0" fontId="16" fillId="3" borderId="15" xfId="0" applyFont="1" applyFill="1" applyBorder="1" applyAlignment="1" applyProtection="1">
      <alignment horizontal="center"/>
      <protection hidden="1"/>
    </xf>
    <xf numFmtId="0" fontId="16" fillId="3" borderId="16" xfId="0" applyFont="1" applyFill="1" applyBorder="1" applyAlignment="1" applyProtection="1">
      <alignment horizontal="center"/>
      <protection hidden="1"/>
    </xf>
    <xf numFmtId="164" fontId="17" fillId="0" borderId="0" xfId="3" applyNumberFormat="1" applyFont="1" applyAlignment="1" applyProtection="1">
      <alignment horizontal="center"/>
      <protection hidden="1"/>
    </xf>
    <xf numFmtId="164" fontId="16" fillId="3" borderId="9" xfId="3" applyNumberFormat="1" applyFont="1" applyFill="1" applyBorder="1" applyProtection="1">
      <protection hidden="1"/>
    </xf>
    <xf numFmtId="164" fontId="16" fillId="3" borderId="17" xfId="3" applyNumberFormat="1" applyFont="1" applyFill="1" applyBorder="1" applyAlignment="1" applyProtection="1">
      <alignment horizontal="center"/>
      <protection hidden="1"/>
    </xf>
    <xf numFmtId="0" fontId="16" fillId="3" borderId="18" xfId="0" applyFont="1" applyFill="1" applyBorder="1" applyProtection="1">
      <protection hidden="1"/>
    </xf>
    <xf numFmtId="0" fontId="16" fillId="3" borderId="2" xfId="0" applyFont="1" applyFill="1" applyBorder="1" applyAlignment="1" applyProtection="1">
      <alignment horizontal="right"/>
      <protection hidden="1"/>
    </xf>
    <xf numFmtId="0" fontId="16" fillId="3" borderId="2" xfId="0" applyFont="1" applyFill="1" applyBorder="1" applyAlignment="1" applyProtection="1">
      <alignment horizontal="center"/>
      <protection hidden="1"/>
    </xf>
    <xf numFmtId="164" fontId="16" fillId="3" borderId="16" xfId="0" applyNumberFormat="1" applyFont="1" applyFill="1" applyBorder="1" applyAlignment="1" applyProtection="1">
      <alignment horizontal="center"/>
      <protection hidden="1"/>
    </xf>
    <xf numFmtId="0" fontId="10" fillId="0" borderId="0" xfId="3" applyFont="1" applyAlignment="1" applyProtection="1">
      <alignment horizontal="center"/>
      <protection hidden="1"/>
    </xf>
    <xf numFmtId="0" fontId="20" fillId="0" borderId="7" xfId="3" applyFont="1" applyBorder="1" applyAlignment="1" applyProtection="1">
      <alignment horizontal="center"/>
      <protection hidden="1"/>
    </xf>
    <xf numFmtId="0" fontId="20" fillId="0" borderId="2" xfId="3" applyFont="1" applyBorder="1" applyAlignment="1" applyProtection="1">
      <alignment horizontal="center"/>
      <protection hidden="1"/>
    </xf>
    <xf numFmtId="0" fontId="20" fillId="0" borderId="16" xfId="3" applyFont="1" applyBorder="1" applyAlignment="1" applyProtection="1">
      <alignment horizontal="center"/>
      <protection hidden="1"/>
    </xf>
    <xf numFmtId="164" fontId="24" fillId="0" borderId="0" xfId="3" applyNumberFormat="1" applyFont="1" applyAlignment="1" applyProtection="1">
      <alignment horizontal="center"/>
      <protection hidden="1"/>
    </xf>
    <xf numFmtId="169" fontId="25" fillId="3" borderId="7" xfId="3" applyNumberFormat="1" applyFont="1" applyFill="1" applyBorder="1" applyProtection="1">
      <protection hidden="1"/>
    </xf>
    <xf numFmtId="0" fontId="26" fillId="0" borderId="0" xfId="3" applyFont="1" applyAlignment="1" applyProtection="1">
      <alignment vertical="center"/>
      <protection hidden="1"/>
    </xf>
    <xf numFmtId="0" fontId="27" fillId="4" borderId="7" xfId="0" applyFont="1" applyFill="1" applyBorder="1" applyProtection="1">
      <protection hidden="1"/>
    </xf>
    <xf numFmtId="164" fontId="26" fillId="4" borderId="8" xfId="0" applyNumberFormat="1" applyFont="1" applyFill="1" applyBorder="1" applyAlignment="1" applyProtection="1">
      <alignment horizontal="right"/>
      <protection hidden="1"/>
    </xf>
    <xf numFmtId="0" fontId="26" fillId="0" borderId="0" xfId="3" applyFont="1" applyProtection="1">
      <protection hidden="1"/>
    </xf>
    <xf numFmtId="9" fontId="4" fillId="8" borderId="0" xfId="1" applyFont="1" applyFill="1" applyAlignment="1" applyProtection="1">
      <alignment horizontal="center"/>
      <protection hidden="1"/>
    </xf>
    <xf numFmtId="165" fontId="4" fillId="8" borderId="0" xfId="3" applyNumberFormat="1" applyFont="1" applyFill="1" applyAlignment="1" applyProtection="1">
      <alignment horizontal="center"/>
      <protection hidden="1"/>
    </xf>
    <xf numFmtId="10" fontId="4" fillId="8" borderId="0" xfId="1" applyNumberFormat="1" applyFont="1" applyFill="1" applyAlignment="1" applyProtection="1">
      <alignment horizontal="center"/>
      <protection hidden="1"/>
    </xf>
    <xf numFmtId="0" fontId="30" fillId="4" borderId="7" xfId="0" applyFont="1" applyFill="1" applyBorder="1" applyProtection="1">
      <protection hidden="1"/>
    </xf>
    <xf numFmtId="164" fontId="25" fillId="3" borderId="3" xfId="0" applyNumberFormat="1" applyFont="1" applyFill="1" applyBorder="1" applyAlignment="1" applyProtection="1">
      <alignment horizontal="center"/>
      <protection hidden="1"/>
    </xf>
    <xf numFmtId="164" fontId="25" fillId="3" borderId="4" xfId="0" applyNumberFormat="1" applyFont="1" applyFill="1" applyBorder="1" applyAlignment="1" applyProtection="1">
      <alignment horizontal="center"/>
      <protection hidden="1"/>
    </xf>
    <xf numFmtId="164" fontId="25" fillId="3" borderId="5" xfId="0" applyNumberFormat="1" applyFont="1" applyFill="1" applyBorder="1" applyAlignment="1" applyProtection="1">
      <alignment horizontal="center"/>
      <protection hidden="1"/>
    </xf>
    <xf numFmtId="164" fontId="26" fillId="4" borderId="8" xfId="0" applyNumberFormat="1" applyFont="1" applyFill="1" applyBorder="1" applyProtection="1">
      <protection hidden="1"/>
    </xf>
    <xf numFmtId="164" fontId="25" fillId="3" borderId="7" xfId="0" applyNumberFormat="1" applyFont="1" applyFill="1" applyBorder="1" applyAlignment="1" applyProtection="1">
      <alignment horizontal="center"/>
      <protection hidden="1"/>
    </xf>
    <xf numFmtId="164" fontId="25" fillId="3" borderId="8" xfId="0" applyNumberFormat="1" applyFont="1" applyFill="1" applyBorder="1" applyAlignment="1" applyProtection="1">
      <alignment horizontal="center"/>
      <protection hidden="1"/>
    </xf>
    <xf numFmtId="164" fontId="31" fillId="3" borderId="0" xfId="3" applyNumberFormat="1" applyFont="1" applyFill="1" applyAlignment="1" applyProtection="1">
      <alignment horizontal="right"/>
      <protection hidden="1"/>
    </xf>
    <xf numFmtId="169" fontId="25" fillId="3" borderId="52" xfId="3" applyNumberFormat="1" applyFont="1" applyFill="1" applyBorder="1" applyProtection="1">
      <protection hidden="1"/>
    </xf>
    <xf numFmtId="164" fontId="25" fillId="3" borderId="9" xfId="0" applyNumberFormat="1" applyFont="1" applyFill="1" applyBorder="1" applyAlignment="1" applyProtection="1">
      <alignment horizontal="center"/>
      <protection hidden="1"/>
    </xf>
    <xf numFmtId="164" fontId="25" fillId="3" borderId="2" xfId="0" applyNumberFormat="1" applyFont="1" applyFill="1" applyBorder="1" applyAlignment="1" applyProtection="1">
      <alignment horizontal="center"/>
      <protection hidden="1"/>
    </xf>
    <xf numFmtId="164" fontId="25" fillId="3" borderId="16" xfId="0" applyNumberFormat="1" applyFont="1" applyFill="1" applyBorder="1" applyAlignment="1" applyProtection="1">
      <alignment horizontal="center"/>
      <protection hidden="1"/>
    </xf>
    <xf numFmtId="164" fontId="29" fillId="0" borderId="0" xfId="0" applyNumberFormat="1" applyFont="1" applyAlignment="1" applyProtection="1">
      <alignment horizontal="center"/>
      <protection hidden="1"/>
    </xf>
    <xf numFmtId="0" fontId="26" fillId="0" borderId="0" xfId="0" applyFont="1" applyProtection="1">
      <protection hidden="1"/>
    </xf>
    <xf numFmtId="0" fontId="26" fillId="0" borderId="0" xfId="3" applyFont="1" applyAlignment="1" applyProtection="1">
      <alignment vertical="top"/>
      <protection hidden="1"/>
    </xf>
    <xf numFmtId="0" fontId="25" fillId="3" borderId="52" xfId="0" applyFont="1" applyFill="1" applyBorder="1" applyProtection="1">
      <protection hidden="1"/>
    </xf>
    <xf numFmtId="169" fontId="25" fillId="3" borderId="9" xfId="3" applyNumberFormat="1" applyFont="1" applyFill="1" applyBorder="1" applyProtection="1">
      <protection hidden="1"/>
    </xf>
    <xf numFmtId="0" fontId="26" fillId="0" borderId="0" xfId="0" applyFont="1" applyAlignment="1" applyProtection="1">
      <alignment horizontal="center"/>
      <protection hidden="1"/>
    </xf>
    <xf numFmtId="0" fontId="26" fillId="4" borderId="8" xfId="0" applyFont="1" applyFill="1" applyBorder="1" applyProtection="1">
      <protection hidden="1"/>
    </xf>
    <xf numFmtId="9" fontId="25" fillId="4" borderId="0" xfId="1" applyFont="1" applyFill="1" applyBorder="1" applyAlignment="1" applyProtection="1">
      <alignment horizontal="center"/>
      <protection hidden="1"/>
    </xf>
    <xf numFmtId="0" fontId="34" fillId="4" borderId="9" xfId="0" applyFont="1" applyFill="1" applyBorder="1" applyProtection="1">
      <protection hidden="1"/>
    </xf>
    <xf numFmtId="0" fontId="34" fillId="4" borderId="2" xfId="0" applyFont="1" applyFill="1" applyBorder="1" applyProtection="1">
      <protection hidden="1"/>
    </xf>
    <xf numFmtId="0" fontId="26" fillId="4" borderId="16" xfId="0" applyFont="1" applyFill="1" applyBorder="1" applyProtection="1">
      <protection hidden="1"/>
    </xf>
    <xf numFmtId="0" fontId="34" fillId="0" borderId="0" xfId="0" applyFont="1" applyProtection="1">
      <protection hidden="1"/>
    </xf>
    <xf numFmtId="0" fontId="26" fillId="0" borderId="0" xfId="0" applyFont="1" applyAlignment="1" applyProtection="1">
      <alignment horizontal="left"/>
      <protection hidden="1"/>
    </xf>
    <xf numFmtId="0" fontId="34" fillId="0" borderId="0" xfId="0" applyFont="1" applyAlignment="1" applyProtection="1">
      <alignment horizontal="center"/>
      <protection hidden="1"/>
    </xf>
    <xf numFmtId="0" fontId="35" fillId="0" borderId="0" xfId="0" applyFont="1" applyAlignment="1" applyProtection="1">
      <alignment horizontal="center"/>
      <protection hidden="1"/>
    </xf>
    <xf numFmtId="0" fontId="35" fillId="0" borderId="0" xfId="0" applyFont="1" applyProtection="1">
      <protection hidden="1"/>
    </xf>
    <xf numFmtId="0" fontId="4" fillId="0" borderId="0" xfId="0" applyFont="1" applyAlignment="1" applyProtection="1">
      <alignment horizontal="center"/>
      <protection hidden="1"/>
    </xf>
    <xf numFmtId="164" fontId="26" fillId="0" borderId="0" xfId="0" applyNumberFormat="1" applyFont="1" applyAlignment="1" applyProtection="1">
      <alignment horizontal="center"/>
      <protection hidden="1"/>
    </xf>
    <xf numFmtId="164" fontId="3" fillId="3" borderId="0" xfId="0" applyNumberFormat="1" applyFont="1" applyFill="1" applyProtection="1">
      <protection hidden="1"/>
    </xf>
    <xf numFmtId="164" fontId="36" fillId="3" borderId="0" xfId="3" applyNumberFormat="1" applyFont="1" applyFill="1" applyAlignment="1" applyProtection="1">
      <alignment horizontal="right"/>
      <protection hidden="1"/>
    </xf>
    <xf numFmtId="164" fontId="8" fillId="3" borderId="0" xfId="3" applyNumberFormat="1" applyFont="1" applyFill="1" applyAlignment="1" applyProtection="1">
      <alignment horizontal="left"/>
      <protection hidden="1"/>
    </xf>
    <xf numFmtId="164" fontId="26" fillId="9" borderId="0" xfId="0" applyNumberFormat="1" applyFont="1" applyFill="1" applyAlignment="1" applyProtection="1">
      <alignment horizontal="left" indent="1"/>
      <protection hidden="1"/>
    </xf>
    <xf numFmtId="164" fontId="37" fillId="3" borderId="0" xfId="3" applyNumberFormat="1" applyFont="1" applyFill="1" applyAlignment="1" applyProtection="1">
      <alignment horizontal="right"/>
      <protection hidden="1"/>
    </xf>
    <xf numFmtId="164" fontId="37" fillId="3" borderId="0" xfId="0" applyNumberFormat="1" applyFont="1" applyFill="1" applyAlignment="1" applyProtection="1">
      <alignment horizontal="right"/>
      <protection hidden="1"/>
    </xf>
    <xf numFmtId="164" fontId="37" fillId="3" borderId="0" xfId="4" applyNumberFormat="1" applyFont="1" applyFill="1" applyBorder="1" applyAlignment="1" applyProtection="1">
      <alignment horizontal="right"/>
      <protection hidden="1"/>
    </xf>
    <xf numFmtId="164" fontId="37" fillId="9" borderId="0" xfId="0" applyNumberFormat="1" applyFont="1" applyFill="1" applyAlignment="1" applyProtection="1">
      <alignment horizontal="right"/>
      <protection hidden="1"/>
    </xf>
    <xf numFmtId="164" fontId="26" fillId="9" borderId="0" xfId="3" applyNumberFormat="1" applyFont="1" applyFill="1" applyAlignment="1" applyProtection="1">
      <alignment horizontal="left" indent="1"/>
      <protection hidden="1"/>
    </xf>
    <xf numFmtId="164" fontId="26" fillId="3" borderId="2" xfId="3" applyNumberFormat="1" applyFont="1" applyFill="1" applyBorder="1" applyAlignment="1" applyProtection="1">
      <alignment horizontal="left" indent="1"/>
      <protection hidden="1"/>
    </xf>
    <xf numFmtId="164" fontId="37" fillId="3" borderId="2" xfId="3" applyNumberFormat="1" applyFont="1" applyFill="1" applyBorder="1" applyAlignment="1" applyProtection="1">
      <alignment horizontal="right"/>
      <protection hidden="1"/>
    </xf>
    <xf numFmtId="164" fontId="38" fillId="3" borderId="2" xfId="0" applyNumberFormat="1" applyFont="1" applyFill="1" applyBorder="1" applyAlignment="1" applyProtection="1">
      <alignment horizontal="right"/>
      <protection hidden="1"/>
    </xf>
    <xf numFmtId="164" fontId="39" fillId="3" borderId="0" xfId="3" applyNumberFormat="1" applyFont="1" applyFill="1" applyProtection="1">
      <protection hidden="1"/>
    </xf>
    <xf numFmtId="164" fontId="38" fillId="3" borderId="0" xfId="3" applyNumberFormat="1" applyFont="1" applyFill="1" applyAlignment="1" applyProtection="1">
      <alignment horizontal="right"/>
      <protection hidden="1"/>
    </xf>
    <xf numFmtId="164" fontId="38" fillId="3" borderId="0" xfId="0" applyNumberFormat="1" applyFont="1" applyFill="1" applyAlignment="1" applyProtection="1">
      <alignment horizontal="right"/>
      <protection hidden="1"/>
    </xf>
    <xf numFmtId="164" fontId="5" fillId="3" borderId="0" xfId="0" applyNumberFormat="1" applyFont="1" applyFill="1" applyProtection="1">
      <protection hidden="1"/>
    </xf>
    <xf numFmtId="164" fontId="6" fillId="3" borderId="0" xfId="0" applyNumberFormat="1" applyFont="1" applyFill="1" applyAlignment="1" applyProtection="1">
      <alignment horizontal="right"/>
      <protection hidden="1"/>
    </xf>
    <xf numFmtId="164" fontId="37" fillId="3" borderId="74" xfId="3" applyNumberFormat="1" applyFont="1" applyFill="1" applyBorder="1" applyAlignment="1" applyProtection="1">
      <alignment horizontal="right"/>
      <protection hidden="1"/>
    </xf>
    <xf numFmtId="164" fontId="38" fillId="3" borderId="2" xfId="3" applyNumberFormat="1" applyFont="1" applyFill="1" applyBorder="1" applyAlignment="1" applyProtection="1">
      <alignment horizontal="right"/>
      <protection hidden="1"/>
    </xf>
    <xf numFmtId="165" fontId="4" fillId="3" borderId="0" xfId="0" applyNumberFormat="1" applyFont="1" applyFill="1" applyAlignment="1" applyProtection="1">
      <alignment vertical="center"/>
      <protection hidden="1"/>
    </xf>
    <xf numFmtId="165" fontId="4" fillId="3" borderId="0" xfId="0" applyNumberFormat="1" applyFont="1" applyFill="1" applyAlignment="1" applyProtection="1">
      <alignment horizontal="right"/>
      <protection hidden="1"/>
    </xf>
    <xf numFmtId="165" fontId="8" fillId="3" borderId="0" xfId="3" applyNumberFormat="1" applyFont="1" applyFill="1" applyProtection="1">
      <protection hidden="1"/>
    </xf>
    <xf numFmtId="165" fontId="36" fillId="3" borderId="0" xfId="0" applyNumberFormat="1" applyFont="1" applyFill="1" applyAlignment="1" applyProtection="1">
      <alignment horizontal="right"/>
      <protection hidden="1"/>
    </xf>
    <xf numFmtId="164" fontId="26" fillId="3" borderId="0" xfId="3" applyNumberFormat="1" applyFont="1" applyFill="1" applyAlignment="1" applyProtection="1">
      <alignment horizontal="left" indent="1"/>
      <protection hidden="1"/>
    </xf>
    <xf numFmtId="164" fontId="37" fillId="3" borderId="2" xfId="0" applyNumberFormat="1" applyFont="1" applyFill="1" applyBorder="1" applyAlignment="1" applyProtection="1">
      <alignment horizontal="right"/>
      <protection hidden="1"/>
    </xf>
    <xf numFmtId="164" fontId="26" fillId="9" borderId="2" xfId="0" applyNumberFormat="1" applyFont="1" applyFill="1" applyBorder="1" applyAlignment="1" applyProtection="1">
      <alignment horizontal="left" indent="1"/>
      <protection hidden="1"/>
    </xf>
    <xf numFmtId="164" fontId="37" fillId="9" borderId="2" xfId="3" applyNumberFormat="1" applyFont="1" applyFill="1" applyBorder="1" applyAlignment="1" applyProtection="1">
      <alignment horizontal="right"/>
      <protection hidden="1"/>
    </xf>
    <xf numFmtId="165" fontId="26" fillId="3" borderId="0" xfId="0" applyNumberFormat="1" applyFont="1" applyFill="1" applyProtection="1">
      <protection hidden="1"/>
    </xf>
    <xf numFmtId="165" fontId="37" fillId="3" borderId="0" xfId="0" applyNumberFormat="1" applyFont="1" applyFill="1" applyAlignment="1" applyProtection="1">
      <alignment horizontal="right"/>
      <protection hidden="1"/>
    </xf>
    <xf numFmtId="165" fontId="3" fillId="3" borderId="0" xfId="0" applyNumberFormat="1" applyFont="1" applyFill="1" applyProtection="1">
      <protection hidden="1"/>
    </xf>
    <xf numFmtId="164" fontId="6" fillId="9" borderId="0" xfId="0" applyNumberFormat="1" applyFont="1" applyFill="1" applyAlignment="1" applyProtection="1">
      <alignment horizontal="right"/>
      <protection hidden="1"/>
    </xf>
    <xf numFmtId="164" fontId="4" fillId="3" borderId="0" xfId="3" applyNumberFormat="1" applyFont="1" applyFill="1" applyProtection="1">
      <protection hidden="1"/>
    </xf>
    <xf numFmtId="164" fontId="26" fillId="9" borderId="77" xfId="3" applyNumberFormat="1" applyFont="1" applyFill="1" applyBorder="1" applyAlignment="1" applyProtection="1">
      <alignment horizontal="left" indent="1"/>
      <protection hidden="1"/>
    </xf>
    <xf numFmtId="164" fontId="37" fillId="9" borderId="77" xfId="0" applyNumberFormat="1" applyFont="1" applyFill="1" applyBorder="1" applyAlignment="1" applyProtection="1">
      <alignment horizontal="right"/>
      <protection hidden="1"/>
    </xf>
    <xf numFmtId="164" fontId="37" fillId="3" borderId="77" xfId="0" applyNumberFormat="1" applyFont="1" applyFill="1" applyBorder="1" applyAlignment="1" applyProtection="1">
      <alignment horizontal="right"/>
      <protection hidden="1"/>
    </xf>
    <xf numFmtId="164" fontId="37" fillId="3" borderId="77" xfId="4" applyNumberFormat="1" applyFont="1" applyFill="1" applyBorder="1" applyAlignment="1" applyProtection="1">
      <alignment horizontal="right"/>
      <protection hidden="1"/>
    </xf>
    <xf numFmtId="164" fontId="42" fillId="3" borderId="0" xfId="0" applyNumberFormat="1" applyFont="1" applyFill="1" applyAlignment="1" applyProtection="1">
      <alignment horizontal="right"/>
      <protection hidden="1"/>
    </xf>
    <xf numFmtId="164" fontId="39" fillId="3" borderId="4" xfId="3" applyNumberFormat="1" applyFont="1" applyFill="1" applyBorder="1" applyProtection="1">
      <protection hidden="1"/>
    </xf>
    <xf numFmtId="164" fontId="38" fillId="3" borderId="4" xfId="3" applyNumberFormat="1" applyFont="1" applyFill="1" applyBorder="1" applyAlignment="1" applyProtection="1">
      <alignment horizontal="right"/>
      <protection hidden="1"/>
    </xf>
    <xf numFmtId="164" fontId="38" fillId="3" borderId="4" xfId="0" applyNumberFormat="1" applyFont="1" applyFill="1" applyBorder="1" applyAlignment="1" applyProtection="1">
      <alignment horizontal="right"/>
      <protection hidden="1"/>
    </xf>
    <xf numFmtId="165" fontId="24" fillId="3" borderId="0" xfId="3" applyNumberFormat="1" applyFont="1" applyFill="1" applyAlignment="1" applyProtection="1">
      <alignment horizontal="right"/>
      <protection hidden="1"/>
    </xf>
    <xf numFmtId="165" fontId="43" fillId="3" borderId="0" xfId="0" applyNumberFormat="1" applyFont="1" applyFill="1" applyAlignment="1" applyProtection="1">
      <alignment horizontal="right"/>
      <protection hidden="1"/>
    </xf>
    <xf numFmtId="164" fontId="8" fillId="3" borderId="0" xfId="3" applyNumberFormat="1" applyFont="1" applyFill="1" applyProtection="1">
      <protection hidden="1"/>
    </xf>
    <xf numFmtId="164" fontId="39" fillId="3" borderId="0" xfId="0" applyNumberFormat="1" applyFont="1" applyFill="1" applyProtection="1">
      <protection hidden="1"/>
    </xf>
    <xf numFmtId="164" fontId="44" fillId="3" borderId="0" xfId="3" applyNumberFormat="1" applyFont="1" applyFill="1" applyAlignment="1" applyProtection="1">
      <alignment horizontal="right"/>
      <protection hidden="1"/>
    </xf>
    <xf numFmtId="164" fontId="37" fillId="3" borderId="74" xfId="0" applyNumberFormat="1" applyFont="1" applyFill="1" applyBorder="1" applyAlignment="1" applyProtection="1">
      <alignment horizontal="right"/>
      <protection hidden="1"/>
    </xf>
    <xf numFmtId="164" fontId="26" fillId="9" borderId="2" xfId="3" applyNumberFormat="1" applyFont="1" applyFill="1" applyBorder="1" applyAlignment="1" applyProtection="1">
      <alignment horizontal="left" indent="1"/>
      <protection hidden="1"/>
    </xf>
    <xf numFmtId="164" fontId="37" fillId="9" borderId="2" xfId="0" applyNumberFormat="1" applyFont="1" applyFill="1" applyBorder="1" applyAlignment="1" applyProtection="1">
      <alignment horizontal="right"/>
      <protection hidden="1"/>
    </xf>
    <xf numFmtId="164" fontId="35" fillId="9" borderId="0" xfId="0" applyNumberFormat="1" applyFont="1" applyFill="1" applyAlignment="1" applyProtection="1">
      <alignment horizontal="left" indent="1"/>
      <protection hidden="1"/>
    </xf>
    <xf numFmtId="164" fontId="26" fillId="9" borderId="77" xfId="0" applyNumberFormat="1" applyFont="1" applyFill="1" applyBorder="1" applyAlignment="1" applyProtection="1">
      <alignment horizontal="left" indent="1"/>
      <protection hidden="1"/>
    </xf>
    <xf numFmtId="164" fontId="47" fillId="3" borderId="0" xfId="0" applyNumberFormat="1" applyFont="1" applyFill="1" applyAlignment="1" applyProtection="1">
      <alignment horizontal="right"/>
      <protection hidden="1"/>
    </xf>
    <xf numFmtId="165" fontId="3" fillId="3" borderId="0" xfId="0" applyNumberFormat="1" applyFont="1" applyFill="1" applyAlignment="1" applyProtection="1">
      <alignment horizontal="center"/>
      <protection hidden="1"/>
    </xf>
    <xf numFmtId="171" fontId="3" fillId="3" borderId="0" xfId="1" applyNumberFormat="1" applyFont="1" applyFill="1" applyAlignment="1" applyProtection="1">
      <alignment horizontal="center"/>
      <protection hidden="1"/>
    </xf>
    <xf numFmtId="164" fontId="36" fillId="3" borderId="0" xfId="0" applyNumberFormat="1" applyFont="1" applyFill="1" applyProtection="1">
      <protection hidden="1"/>
    </xf>
    <xf numFmtId="164" fontId="37" fillId="3" borderId="0" xfId="0" applyNumberFormat="1" applyFont="1" applyFill="1" applyProtection="1">
      <protection hidden="1"/>
    </xf>
    <xf numFmtId="165" fontId="37" fillId="3" borderId="0" xfId="0" applyNumberFormat="1" applyFont="1" applyFill="1" applyAlignment="1" applyProtection="1">
      <alignment horizontal="center"/>
      <protection hidden="1"/>
    </xf>
    <xf numFmtId="171" fontId="37" fillId="3" borderId="0" xfId="1" applyNumberFormat="1" applyFont="1" applyFill="1" applyAlignment="1" applyProtection="1">
      <alignment horizontal="center"/>
      <protection hidden="1"/>
    </xf>
    <xf numFmtId="0" fontId="37" fillId="3" borderId="0" xfId="0" applyFont="1" applyFill="1" applyProtection="1">
      <protection hidden="1"/>
    </xf>
    <xf numFmtId="0" fontId="26" fillId="9" borderId="0" xfId="0" applyFont="1" applyFill="1" applyAlignment="1" applyProtection="1">
      <alignment horizontal="left" vertical="center" indent="1"/>
      <protection hidden="1"/>
    </xf>
    <xf numFmtId="171" fontId="37" fillId="3" borderId="0" xfId="1" applyNumberFormat="1" applyFont="1" applyFill="1" applyBorder="1" applyAlignment="1" applyProtection="1">
      <alignment horizontal="center"/>
      <protection hidden="1"/>
    </xf>
    <xf numFmtId="165" fontId="26" fillId="9" borderId="0" xfId="0" applyNumberFormat="1" applyFont="1" applyFill="1" applyAlignment="1" applyProtection="1">
      <alignment horizontal="left" vertical="center" indent="1"/>
      <protection hidden="1"/>
    </xf>
    <xf numFmtId="164" fontId="26" fillId="3" borderId="0" xfId="0" applyNumberFormat="1" applyFont="1" applyFill="1" applyProtection="1">
      <protection hidden="1"/>
    </xf>
    <xf numFmtId="165" fontId="41" fillId="3" borderId="0" xfId="0" applyNumberFormat="1" applyFont="1" applyFill="1" applyAlignment="1" applyProtection="1">
      <alignment horizontal="right"/>
      <protection hidden="1"/>
    </xf>
    <xf numFmtId="165" fontId="41" fillId="3" borderId="0" xfId="0" applyNumberFormat="1" applyFont="1" applyFill="1" applyProtection="1">
      <protection hidden="1"/>
    </xf>
    <xf numFmtId="0" fontId="48" fillId="0" borderId="0" xfId="0" applyFont="1" applyProtection="1">
      <protection hidden="1"/>
    </xf>
    <xf numFmtId="0" fontId="5" fillId="0" borderId="0" xfId="0" applyFont="1" applyProtection="1">
      <protection hidden="1"/>
    </xf>
    <xf numFmtId="0" fontId="47" fillId="0" borderId="0" xfId="0" applyFont="1" applyAlignment="1" applyProtection="1">
      <alignment vertical="center"/>
      <protection hidden="1"/>
    </xf>
    <xf numFmtId="164" fontId="6" fillId="3" borderId="2" xfId="0" applyNumberFormat="1" applyFont="1" applyFill="1" applyBorder="1" applyAlignment="1" applyProtection="1">
      <alignment horizontal="right"/>
      <protection hidden="1"/>
    </xf>
    <xf numFmtId="164" fontId="5" fillId="9" borderId="0" xfId="0" applyNumberFormat="1" applyFont="1" applyFill="1" applyAlignment="1" applyProtection="1">
      <alignment horizontal="left" indent="1"/>
      <protection hidden="1"/>
    </xf>
    <xf numFmtId="164" fontId="5" fillId="9" borderId="2" xfId="0" applyNumberFormat="1" applyFont="1" applyFill="1" applyBorder="1" applyAlignment="1" applyProtection="1">
      <alignment horizontal="left" indent="1"/>
      <protection hidden="1"/>
    </xf>
    <xf numFmtId="165" fontId="26" fillId="9" borderId="0" xfId="3" applyNumberFormat="1" applyFont="1" applyFill="1" applyAlignment="1" applyProtection="1">
      <alignment horizontal="left" indent="1"/>
      <protection hidden="1"/>
    </xf>
    <xf numFmtId="165" fontId="51" fillId="3" borderId="0" xfId="0" applyNumberFormat="1" applyFont="1" applyFill="1" applyAlignment="1" applyProtection="1">
      <alignment horizontal="right"/>
      <protection hidden="1"/>
    </xf>
    <xf numFmtId="165" fontId="26" fillId="9" borderId="2" xfId="0" applyNumberFormat="1" applyFont="1" applyFill="1" applyBorder="1" applyAlignment="1" applyProtection="1">
      <alignment horizontal="left" indent="1"/>
      <protection hidden="1"/>
    </xf>
    <xf numFmtId="165" fontId="39" fillId="3" borderId="0" xfId="3" applyNumberFormat="1" applyFont="1" applyFill="1" applyProtection="1">
      <protection hidden="1"/>
    </xf>
    <xf numFmtId="165" fontId="52" fillId="3" borderId="0" xfId="3" applyNumberFormat="1" applyFont="1" applyFill="1" applyAlignment="1" applyProtection="1">
      <alignment horizontal="right"/>
      <protection hidden="1"/>
    </xf>
    <xf numFmtId="164" fontId="53" fillId="3" borderId="0" xfId="3" applyNumberFormat="1" applyFont="1" applyFill="1" applyAlignment="1" applyProtection="1">
      <alignment horizontal="right"/>
      <protection hidden="1"/>
    </xf>
    <xf numFmtId="168" fontId="54" fillId="3" borderId="0" xfId="3" applyNumberFormat="1" applyFont="1" applyFill="1" applyAlignment="1" applyProtection="1">
      <alignment horizontal="center"/>
      <protection hidden="1"/>
    </xf>
    <xf numFmtId="166" fontId="36" fillId="3" borderId="0" xfId="3" applyNumberFormat="1" applyFont="1" applyFill="1" applyAlignment="1" applyProtection="1">
      <alignment horizontal="center"/>
      <protection hidden="1"/>
    </xf>
    <xf numFmtId="166" fontId="54" fillId="3" borderId="0" xfId="3" applyNumberFormat="1" applyFont="1" applyFill="1" applyAlignment="1" applyProtection="1">
      <alignment horizontal="center"/>
      <protection hidden="1"/>
    </xf>
    <xf numFmtId="164" fontId="36" fillId="3" borderId="0" xfId="0" applyNumberFormat="1" applyFont="1" applyFill="1" applyAlignment="1" applyProtection="1">
      <alignment horizontal="right"/>
      <protection hidden="1"/>
    </xf>
    <xf numFmtId="165" fontId="54" fillId="3" borderId="2" xfId="3" applyNumberFormat="1" applyFont="1" applyFill="1" applyBorder="1" applyAlignment="1" applyProtection="1">
      <alignment horizontal="center"/>
      <protection hidden="1"/>
    </xf>
    <xf numFmtId="165" fontId="36" fillId="3" borderId="0" xfId="3" applyNumberFormat="1" applyFont="1" applyFill="1" applyAlignment="1" applyProtection="1">
      <alignment horizontal="center"/>
      <protection hidden="1"/>
    </xf>
    <xf numFmtId="165" fontId="36" fillId="3" borderId="2" xfId="3" applyNumberFormat="1" applyFont="1" applyFill="1" applyBorder="1" applyAlignment="1" applyProtection="1">
      <alignment horizontal="center"/>
      <protection hidden="1"/>
    </xf>
    <xf numFmtId="171" fontId="36" fillId="3" borderId="2" xfId="1" applyNumberFormat="1" applyFont="1" applyFill="1" applyBorder="1" applyAlignment="1" applyProtection="1">
      <alignment horizontal="center"/>
      <protection hidden="1"/>
    </xf>
    <xf numFmtId="164" fontId="34" fillId="0" borderId="0" xfId="3" applyNumberFormat="1" applyFont="1" applyProtection="1">
      <protection hidden="1"/>
    </xf>
    <xf numFmtId="0" fontId="34" fillId="0" borderId="0" xfId="3" applyFont="1" applyAlignment="1" applyProtection="1">
      <alignment horizontal="center" vertical="center"/>
      <protection hidden="1"/>
    </xf>
    <xf numFmtId="167" fontId="55" fillId="3" borderId="0" xfId="0" applyNumberFormat="1" applyFont="1" applyFill="1" applyAlignment="1" applyProtection="1">
      <alignment horizontal="center"/>
      <protection hidden="1"/>
    </xf>
    <xf numFmtId="164" fontId="34" fillId="0" borderId="0" xfId="3" applyNumberFormat="1" applyFont="1" applyAlignment="1" applyProtection="1">
      <alignment horizontal="center" vertical="center"/>
      <protection hidden="1"/>
    </xf>
    <xf numFmtId="166" fontId="34" fillId="0" borderId="0" xfId="3" applyNumberFormat="1" applyFont="1" applyAlignment="1" applyProtection="1">
      <alignment horizontal="center"/>
      <protection hidden="1"/>
    </xf>
    <xf numFmtId="164" fontId="56" fillId="0" borderId="0" xfId="3" applyNumberFormat="1" applyFont="1" applyAlignment="1" applyProtection="1">
      <alignment horizontal="center"/>
      <protection hidden="1"/>
    </xf>
    <xf numFmtId="0" fontId="57" fillId="0" borderId="0" xfId="0" applyFont="1" applyAlignment="1" applyProtection="1">
      <alignment horizontal="center" vertical="top"/>
      <protection hidden="1"/>
    </xf>
    <xf numFmtId="164" fontId="34" fillId="0" borderId="0" xfId="3" applyNumberFormat="1" applyFont="1" applyAlignment="1" applyProtection="1">
      <alignment vertical="center"/>
      <protection hidden="1"/>
    </xf>
    <xf numFmtId="164" fontId="58" fillId="3" borderId="0" xfId="3" applyNumberFormat="1" applyFont="1" applyFill="1" applyAlignment="1" applyProtection="1">
      <alignment horizontal="left"/>
      <protection hidden="1"/>
    </xf>
    <xf numFmtId="164" fontId="49" fillId="8" borderId="79" xfId="0" applyNumberFormat="1" applyFont="1" applyFill="1" applyBorder="1" applyAlignment="1" applyProtection="1">
      <alignment horizontal="left"/>
      <protection hidden="1"/>
    </xf>
    <xf numFmtId="164" fontId="35" fillId="9" borderId="0" xfId="0" applyNumberFormat="1" applyFont="1" applyFill="1" applyAlignment="1" applyProtection="1">
      <alignment horizontal="left" indent="2"/>
      <protection hidden="1"/>
    </xf>
    <xf numFmtId="164" fontId="35" fillId="9" borderId="77" xfId="0" applyNumberFormat="1" applyFont="1" applyFill="1" applyBorder="1" applyAlignment="1" applyProtection="1">
      <alignment horizontal="left" indent="1"/>
      <protection hidden="1"/>
    </xf>
    <xf numFmtId="165" fontId="51" fillId="3" borderId="0" xfId="3" applyNumberFormat="1" applyFont="1" applyFill="1" applyAlignment="1" applyProtection="1">
      <alignment horizontal="right"/>
      <protection hidden="1"/>
    </xf>
    <xf numFmtId="165" fontId="36" fillId="3" borderId="0" xfId="3" applyNumberFormat="1" applyFont="1" applyFill="1" applyAlignment="1" applyProtection="1">
      <alignment horizontal="right"/>
      <protection hidden="1"/>
    </xf>
    <xf numFmtId="164" fontId="36" fillId="3" borderId="0" xfId="3" applyNumberFormat="1" applyFont="1" applyFill="1" applyAlignment="1" applyProtection="1">
      <alignment horizontal="center" vertical="center"/>
      <protection hidden="1"/>
    </xf>
    <xf numFmtId="165" fontId="43" fillId="3" borderId="0" xfId="3" applyNumberFormat="1" applyFont="1" applyFill="1" applyAlignment="1" applyProtection="1">
      <alignment horizontal="right"/>
      <protection hidden="1"/>
    </xf>
    <xf numFmtId="164" fontId="58" fillId="3" borderId="0" xfId="3" applyNumberFormat="1" applyFont="1" applyFill="1" applyProtection="1">
      <protection hidden="1"/>
    </xf>
    <xf numFmtId="166" fontId="59" fillId="3" borderId="0" xfId="3" applyNumberFormat="1" applyFont="1" applyFill="1" applyProtection="1">
      <protection hidden="1"/>
    </xf>
    <xf numFmtId="166" fontId="60" fillId="3" borderId="0" xfId="3" applyNumberFormat="1" applyFont="1" applyFill="1" applyProtection="1">
      <protection hidden="1"/>
    </xf>
    <xf numFmtId="164" fontId="49" fillId="3" borderId="0" xfId="0" applyNumberFormat="1" applyFont="1" applyFill="1" applyProtection="1">
      <protection hidden="1"/>
    </xf>
    <xf numFmtId="164" fontId="58" fillId="9" borderId="0" xfId="3" applyNumberFormat="1" applyFont="1" applyFill="1" applyProtection="1">
      <protection hidden="1"/>
    </xf>
    <xf numFmtId="166" fontId="58" fillId="3" borderId="0" xfId="3" applyNumberFormat="1" applyFont="1" applyFill="1" applyProtection="1">
      <protection hidden="1"/>
    </xf>
    <xf numFmtId="164" fontId="58" fillId="10" borderId="75" xfId="3" applyNumberFormat="1" applyFont="1" applyFill="1" applyBorder="1" applyProtection="1">
      <protection hidden="1"/>
    </xf>
    <xf numFmtId="164" fontId="58" fillId="10" borderId="76" xfId="3" applyNumberFormat="1" applyFont="1" applyFill="1" applyBorder="1" applyProtection="1">
      <protection hidden="1"/>
    </xf>
    <xf numFmtId="164" fontId="6" fillId="9" borderId="2" xfId="0" applyNumberFormat="1" applyFont="1" applyFill="1" applyBorder="1" applyAlignment="1" applyProtection="1">
      <alignment horizontal="right"/>
      <protection hidden="1"/>
    </xf>
    <xf numFmtId="164" fontId="37" fillId="9" borderId="77" xfId="4" applyNumberFormat="1" applyFont="1" applyFill="1" applyBorder="1" applyAlignment="1" applyProtection="1">
      <alignment horizontal="right"/>
      <protection hidden="1"/>
    </xf>
    <xf numFmtId="173" fontId="58" fillId="3" borderId="0" xfId="3" applyNumberFormat="1" applyFont="1" applyFill="1" applyProtection="1">
      <protection hidden="1"/>
    </xf>
    <xf numFmtId="173" fontId="49" fillId="3" borderId="0" xfId="0" applyNumberFormat="1" applyFont="1" applyFill="1" applyProtection="1">
      <protection hidden="1"/>
    </xf>
    <xf numFmtId="174" fontId="58" fillId="3" borderId="0" xfId="3" applyNumberFormat="1" applyFont="1" applyFill="1" applyProtection="1">
      <protection hidden="1"/>
    </xf>
    <xf numFmtId="164" fontId="49" fillId="13" borderId="23" xfId="0" applyNumberFormat="1" applyFont="1" applyFill="1" applyBorder="1" applyAlignment="1" applyProtection="1">
      <alignment horizontal="left"/>
      <protection hidden="1"/>
    </xf>
    <xf numFmtId="164" fontId="49" fillId="7" borderId="80" xfId="0" applyNumberFormat="1" applyFont="1" applyFill="1" applyBorder="1" applyAlignment="1" applyProtection="1">
      <alignment horizontal="left"/>
      <protection hidden="1"/>
    </xf>
    <xf numFmtId="166" fontId="58" fillId="10" borderId="83" xfId="3" applyNumberFormat="1" applyFont="1" applyFill="1" applyBorder="1" applyAlignment="1" applyProtection="1">
      <alignment horizontal="left"/>
      <protection hidden="1"/>
    </xf>
    <xf numFmtId="173" fontId="58" fillId="3" borderId="81" xfId="3" applyNumberFormat="1" applyFont="1" applyFill="1" applyBorder="1" applyAlignment="1" applyProtection="1">
      <alignment horizontal="left"/>
      <protection hidden="1"/>
    </xf>
    <xf numFmtId="173" fontId="49" fillId="15" borderId="81" xfId="0" applyNumberFormat="1" applyFont="1" applyFill="1" applyBorder="1" applyAlignment="1" applyProtection="1">
      <alignment horizontal="left"/>
      <protection hidden="1"/>
    </xf>
    <xf numFmtId="173" fontId="49" fillId="16" borderId="81" xfId="0" applyNumberFormat="1" applyFont="1" applyFill="1" applyBorder="1" applyAlignment="1" applyProtection="1">
      <alignment horizontal="left"/>
      <protection hidden="1"/>
    </xf>
    <xf numFmtId="173" fontId="49" fillId="17" borderId="82" xfId="0" applyNumberFormat="1" applyFont="1" applyFill="1" applyBorder="1" applyAlignment="1" applyProtection="1">
      <alignment horizontal="left"/>
      <protection hidden="1"/>
    </xf>
    <xf numFmtId="164" fontId="37" fillId="14" borderId="0" xfId="0" applyNumberFormat="1" applyFont="1" applyFill="1" applyAlignment="1" applyProtection="1">
      <alignment horizontal="right"/>
      <protection hidden="1"/>
    </xf>
    <xf numFmtId="164" fontId="37" fillId="14" borderId="77" xfId="0" applyNumberFormat="1" applyFont="1" applyFill="1" applyBorder="1" applyAlignment="1" applyProtection="1">
      <alignment horizontal="right"/>
      <protection hidden="1"/>
    </xf>
    <xf numFmtId="165" fontId="47" fillId="3" borderId="0" xfId="0" applyNumberFormat="1" applyFont="1" applyFill="1" applyAlignment="1" applyProtection="1">
      <alignment horizontal="right"/>
      <protection hidden="1"/>
    </xf>
    <xf numFmtId="164" fontId="34" fillId="3" borderId="0" xfId="3" applyNumberFormat="1" applyFont="1" applyFill="1" applyAlignment="1" applyProtection="1">
      <alignment horizontal="right"/>
      <protection hidden="1"/>
    </xf>
    <xf numFmtId="164" fontId="34" fillId="3" borderId="0" xfId="0" applyNumberFormat="1" applyFont="1" applyFill="1" applyAlignment="1" applyProtection="1">
      <alignment horizontal="right"/>
      <protection hidden="1"/>
    </xf>
    <xf numFmtId="173" fontId="58" fillId="3" borderId="7" xfId="3" applyNumberFormat="1" applyFont="1" applyFill="1" applyBorder="1" applyProtection="1">
      <protection hidden="1"/>
    </xf>
    <xf numFmtId="173" fontId="58" fillId="14" borderId="0" xfId="3" applyNumberFormat="1" applyFont="1" applyFill="1" applyProtection="1">
      <protection hidden="1"/>
    </xf>
    <xf numFmtId="173" fontId="58" fillId="14" borderId="81" xfId="3" applyNumberFormat="1" applyFont="1" applyFill="1" applyBorder="1" applyAlignment="1" applyProtection="1">
      <alignment horizontal="left"/>
      <protection hidden="1"/>
    </xf>
    <xf numFmtId="173" fontId="58" fillId="14" borderId="78" xfId="3" applyNumberFormat="1" applyFont="1" applyFill="1" applyBorder="1" applyProtection="1">
      <protection hidden="1"/>
    </xf>
    <xf numFmtId="174" fontId="58" fillId="14" borderId="81" xfId="3" applyNumberFormat="1" applyFont="1" applyFill="1" applyBorder="1" applyAlignment="1" applyProtection="1">
      <alignment horizontal="left"/>
      <protection hidden="1"/>
    </xf>
    <xf numFmtId="174" fontId="58" fillId="14" borderId="7" xfId="3" applyNumberFormat="1" applyFont="1" applyFill="1" applyBorder="1" applyProtection="1">
      <protection hidden="1"/>
    </xf>
    <xf numFmtId="174" fontId="58" fillId="14" borderId="7" xfId="1" applyNumberFormat="1" applyFont="1" applyFill="1" applyBorder="1" applyAlignment="1" applyProtection="1">
      <protection hidden="1"/>
    </xf>
    <xf numFmtId="174" fontId="58" fillId="14" borderId="0" xfId="1" applyNumberFormat="1" applyFont="1" applyFill="1" applyBorder="1" applyAlignment="1" applyProtection="1">
      <protection hidden="1"/>
    </xf>
    <xf numFmtId="174" fontId="58" fillId="14" borderId="0" xfId="3" applyNumberFormat="1" applyFont="1" applyFill="1" applyProtection="1">
      <protection hidden="1"/>
    </xf>
    <xf numFmtId="173" fontId="49" fillId="3" borderId="7" xfId="0" applyNumberFormat="1" applyFont="1" applyFill="1" applyBorder="1" applyProtection="1">
      <protection hidden="1"/>
    </xf>
    <xf numFmtId="173" fontId="49" fillId="3" borderId="9" xfId="0" applyNumberFormat="1" applyFont="1" applyFill="1" applyBorder="1" applyProtection="1">
      <protection hidden="1"/>
    </xf>
    <xf numFmtId="173" fontId="49" fillId="3" borderId="2" xfId="0" applyNumberFormat="1" applyFont="1" applyFill="1" applyBorder="1" applyProtection="1">
      <protection hidden="1"/>
    </xf>
    <xf numFmtId="164" fontId="6" fillId="14" borderId="0" xfId="0" applyNumberFormat="1" applyFont="1" applyFill="1" applyAlignment="1" applyProtection="1">
      <alignment horizontal="right"/>
      <protection hidden="1"/>
    </xf>
    <xf numFmtId="164" fontId="37" fillId="14" borderId="2" xfId="0" applyNumberFormat="1" applyFont="1" applyFill="1" applyBorder="1" applyAlignment="1" applyProtection="1">
      <alignment horizontal="right"/>
      <protection hidden="1"/>
    </xf>
    <xf numFmtId="164" fontId="26" fillId="10" borderId="0" xfId="3" applyNumberFormat="1" applyFont="1" applyFill="1" applyAlignment="1" applyProtection="1">
      <alignment horizontal="left" indent="2"/>
      <protection hidden="1"/>
    </xf>
    <xf numFmtId="164" fontId="26" fillId="10" borderId="0" xfId="3" applyNumberFormat="1" applyFont="1" applyFill="1" applyAlignment="1" applyProtection="1">
      <alignment horizontal="left" indent="1"/>
      <protection hidden="1"/>
    </xf>
    <xf numFmtId="164" fontId="53" fillId="3" borderId="0" xfId="3" applyNumberFormat="1" applyFont="1" applyFill="1" applyProtection="1">
      <protection hidden="1"/>
    </xf>
    <xf numFmtId="165" fontId="26" fillId="9" borderId="0" xfId="3" applyNumberFormat="1" applyFont="1" applyFill="1" applyAlignment="1" applyProtection="1">
      <alignment horizontal="left" indent="2"/>
      <protection hidden="1"/>
    </xf>
    <xf numFmtId="165" fontId="26" fillId="9" borderId="2" xfId="0" applyNumberFormat="1" applyFont="1" applyFill="1" applyBorder="1" applyAlignment="1" applyProtection="1">
      <alignment horizontal="left" indent="2"/>
      <protection hidden="1"/>
    </xf>
    <xf numFmtId="164" fontId="7" fillId="3" borderId="0" xfId="0" applyNumberFormat="1" applyFont="1" applyFill="1" applyAlignment="1" applyProtection="1">
      <alignment horizontal="right"/>
      <protection hidden="1"/>
    </xf>
    <xf numFmtId="164" fontId="53" fillId="3" borderId="0" xfId="0" applyNumberFormat="1" applyFont="1" applyFill="1" applyAlignment="1" applyProtection="1">
      <alignment horizontal="right"/>
      <protection hidden="1"/>
    </xf>
    <xf numFmtId="165" fontId="63" fillId="3" borderId="0" xfId="0" applyNumberFormat="1" applyFont="1" applyFill="1" applyProtection="1">
      <protection hidden="1"/>
    </xf>
    <xf numFmtId="164" fontId="49" fillId="3" borderId="77" xfId="0" applyNumberFormat="1" applyFont="1" applyFill="1" applyBorder="1" applyAlignment="1" applyProtection="1">
      <alignment horizontal="left"/>
      <protection hidden="1"/>
    </xf>
    <xf numFmtId="165" fontId="37" fillId="9" borderId="0" xfId="0" applyNumberFormat="1" applyFont="1" applyFill="1" applyAlignment="1" applyProtection="1">
      <alignment horizontal="right"/>
      <protection hidden="1"/>
    </xf>
    <xf numFmtId="165" fontId="37" fillId="3" borderId="0" xfId="3" applyNumberFormat="1" applyFont="1" applyFill="1" applyAlignment="1" applyProtection="1">
      <alignment horizontal="right"/>
      <protection hidden="1"/>
    </xf>
    <xf numFmtId="165" fontId="37" fillId="3" borderId="0" xfId="4" applyNumberFormat="1" applyFont="1" applyFill="1" applyBorder="1" applyAlignment="1" applyProtection="1">
      <alignment horizontal="right"/>
      <protection hidden="1"/>
    </xf>
    <xf numFmtId="165" fontId="37" fillId="9" borderId="2" xfId="0" applyNumberFormat="1" applyFont="1" applyFill="1" applyBorder="1" applyAlignment="1" applyProtection="1">
      <alignment horizontal="right"/>
      <protection hidden="1"/>
    </xf>
    <xf numFmtId="165" fontId="37" fillId="3" borderId="2" xfId="3" applyNumberFormat="1" applyFont="1" applyFill="1" applyBorder="1" applyAlignment="1" applyProtection="1">
      <alignment horizontal="right"/>
      <protection hidden="1"/>
    </xf>
    <xf numFmtId="165" fontId="37" fillId="9" borderId="2" xfId="3" applyNumberFormat="1" applyFont="1" applyFill="1" applyBorder="1" applyAlignment="1" applyProtection="1">
      <alignment horizontal="right"/>
      <protection hidden="1"/>
    </xf>
    <xf numFmtId="165" fontId="38" fillId="9" borderId="0" xfId="0" applyNumberFormat="1" applyFont="1" applyFill="1" applyAlignment="1" applyProtection="1">
      <alignment horizontal="right"/>
      <protection hidden="1"/>
    </xf>
    <xf numFmtId="165" fontId="38" fillId="9" borderId="2" xfId="3" applyNumberFormat="1" applyFont="1" applyFill="1" applyBorder="1" applyAlignment="1" applyProtection="1">
      <alignment horizontal="right"/>
      <protection hidden="1"/>
    </xf>
    <xf numFmtId="165" fontId="38" fillId="3" borderId="0" xfId="3" applyNumberFormat="1" applyFont="1" applyFill="1" applyAlignment="1" applyProtection="1">
      <alignment horizontal="right"/>
      <protection hidden="1"/>
    </xf>
    <xf numFmtId="165" fontId="37" fillId="3" borderId="2" xfId="0" applyNumberFormat="1" applyFont="1" applyFill="1" applyBorder="1" applyAlignment="1" applyProtection="1">
      <alignment horizontal="right"/>
      <protection hidden="1"/>
    </xf>
    <xf numFmtId="165" fontId="38" fillId="3" borderId="2" xfId="0" applyNumberFormat="1" applyFont="1" applyFill="1" applyBorder="1" applyAlignment="1" applyProtection="1">
      <alignment horizontal="right"/>
      <protection hidden="1"/>
    </xf>
    <xf numFmtId="167" fontId="49" fillId="3" borderId="0" xfId="0" applyNumberFormat="1" applyFont="1" applyFill="1" applyProtection="1">
      <protection hidden="1"/>
    </xf>
    <xf numFmtId="175" fontId="49" fillId="3" borderId="8" xfId="0" applyNumberFormat="1" applyFont="1" applyFill="1" applyBorder="1" applyProtection="1">
      <protection hidden="1"/>
    </xf>
    <xf numFmtId="165" fontId="45" fillId="3" borderId="0" xfId="0" applyNumberFormat="1" applyFont="1" applyFill="1" applyProtection="1">
      <protection hidden="1"/>
    </xf>
    <xf numFmtId="164" fontId="26" fillId="14" borderId="0" xfId="3" applyNumberFormat="1" applyFont="1" applyFill="1" applyAlignment="1" applyProtection="1">
      <alignment horizontal="left" indent="1"/>
      <protection hidden="1"/>
    </xf>
    <xf numFmtId="164" fontId="26" fillId="14" borderId="77" xfId="0" applyNumberFormat="1" applyFont="1" applyFill="1" applyBorder="1" applyAlignment="1" applyProtection="1">
      <alignment horizontal="left" indent="1"/>
      <protection hidden="1"/>
    </xf>
    <xf numFmtId="164" fontId="37" fillId="14" borderId="0" xfId="3" applyNumberFormat="1" applyFont="1" applyFill="1" applyAlignment="1" applyProtection="1">
      <alignment horizontal="right"/>
      <protection hidden="1"/>
    </xf>
    <xf numFmtId="176" fontId="58" fillId="3" borderId="0" xfId="3" applyNumberFormat="1" applyFont="1" applyFill="1" applyProtection="1">
      <protection hidden="1"/>
    </xf>
    <xf numFmtId="165" fontId="46" fillId="3" borderId="0" xfId="0" applyNumberFormat="1" applyFont="1" applyFill="1" applyAlignment="1" applyProtection="1">
      <alignment horizontal="right"/>
      <protection hidden="1"/>
    </xf>
    <xf numFmtId="165" fontId="42" fillId="3" borderId="0" xfId="0" applyNumberFormat="1" applyFont="1" applyFill="1" applyAlignment="1" applyProtection="1">
      <alignment horizontal="right"/>
      <protection hidden="1"/>
    </xf>
    <xf numFmtId="165" fontId="65" fillId="3" borderId="0" xfId="0" applyNumberFormat="1" applyFont="1" applyFill="1" applyAlignment="1" applyProtection="1">
      <alignment horizontal="right"/>
      <protection hidden="1"/>
    </xf>
    <xf numFmtId="164" fontId="67" fillId="3" borderId="0" xfId="3" applyNumberFormat="1" applyFont="1" applyFill="1" applyAlignment="1" applyProtection="1">
      <alignment horizontal="right" vertical="top"/>
      <protection hidden="1"/>
    </xf>
    <xf numFmtId="164" fontId="26" fillId="3" borderId="0" xfId="3" applyNumberFormat="1" applyFont="1" applyFill="1" applyProtection="1">
      <protection hidden="1"/>
    </xf>
    <xf numFmtId="165" fontId="26" fillId="3" borderId="0" xfId="3" applyNumberFormat="1" applyFont="1" applyFill="1" applyProtection="1">
      <protection hidden="1"/>
    </xf>
    <xf numFmtId="165" fontId="64" fillId="3" borderId="0" xfId="3" applyNumberFormat="1" applyFont="1" applyFill="1" applyAlignment="1" applyProtection="1">
      <alignment horizontal="left" indent="1"/>
      <protection hidden="1"/>
    </xf>
    <xf numFmtId="164" fontId="46" fillId="3" borderId="0" xfId="0" applyNumberFormat="1" applyFont="1" applyFill="1" applyAlignment="1" applyProtection="1">
      <alignment horizontal="right"/>
      <protection hidden="1"/>
    </xf>
    <xf numFmtId="164" fontId="26" fillId="3" borderId="2" xfId="3" applyNumberFormat="1" applyFont="1" applyFill="1" applyBorder="1" applyProtection="1">
      <protection hidden="1"/>
    </xf>
    <xf numFmtId="164" fontId="26" fillId="10" borderId="0" xfId="3" applyNumberFormat="1" applyFont="1" applyFill="1" applyProtection="1">
      <protection hidden="1"/>
    </xf>
    <xf numFmtId="164" fontId="26" fillId="10" borderId="77" xfId="3" applyNumberFormat="1" applyFont="1" applyFill="1" applyBorder="1" applyProtection="1">
      <protection hidden="1"/>
    </xf>
    <xf numFmtId="164" fontId="26" fillId="3" borderId="2" xfId="0" applyNumberFormat="1" applyFont="1" applyFill="1" applyBorder="1" applyProtection="1">
      <protection hidden="1"/>
    </xf>
    <xf numFmtId="164" fontId="26" fillId="3" borderId="74" xfId="3" applyNumberFormat="1" applyFont="1" applyFill="1" applyBorder="1" applyProtection="1">
      <protection hidden="1"/>
    </xf>
    <xf numFmtId="0" fontId="27" fillId="4" borderId="7" xfId="0" applyFont="1" applyFill="1" applyBorder="1" applyAlignment="1" applyProtection="1">
      <alignment vertical="center"/>
      <protection hidden="1"/>
    </xf>
    <xf numFmtId="0" fontId="26" fillId="0" borderId="8" xfId="0" applyFont="1" applyBorder="1" applyProtection="1">
      <protection hidden="1"/>
    </xf>
    <xf numFmtId="164" fontId="25" fillId="3" borderId="0" xfId="0" applyNumberFormat="1" applyFont="1" applyFill="1" applyAlignment="1" applyProtection="1">
      <alignment horizontal="center"/>
      <protection hidden="1"/>
    </xf>
    <xf numFmtId="164" fontId="45" fillId="3" borderId="0" xfId="0" applyNumberFormat="1" applyFont="1" applyFill="1" applyProtection="1">
      <protection hidden="1"/>
    </xf>
    <xf numFmtId="164" fontId="6" fillId="3" borderId="0" xfId="0" applyNumberFormat="1" applyFont="1" applyFill="1" applyProtection="1">
      <protection hidden="1"/>
    </xf>
    <xf numFmtId="164" fontId="4" fillId="3" borderId="0" xfId="3" applyNumberFormat="1" applyFont="1" applyFill="1" applyAlignment="1" applyProtection="1">
      <alignment horizontal="right" vertical="top"/>
      <protection hidden="1"/>
    </xf>
    <xf numFmtId="164" fontId="37" fillId="3" borderId="0" xfId="0" applyNumberFormat="1" applyFont="1" applyFill="1" applyAlignment="1" applyProtection="1">
      <alignment horizontal="right" vertical="top"/>
      <protection hidden="1"/>
    </xf>
    <xf numFmtId="164" fontId="38" fillId="3" borderId="0" xfId="3" applyNumberFormat="1" applyFont="1" applyFill="1" applyAlignment="1" applyProtection="1">
      <alignment horizontal="right" vertical="top"/>
      <protection hidden="1"/>
    </xf>
    <xf numFmtId="164" fontId="42" fillId="3" borderId="0" xfId="0" applyNumberFormat="1" applyFont="1" applyFill="1" applyAlignment="1" applyProtection="1">
      <alignment horizontal="right" vertical="top"/>
      <protection hidden="1"/>
    </xf>
    <xf numFmtId="164" fontId="38" fillId="3" borderId="0" xfId="0" applyNumberFormat="1" applyFont="1" applyFill="1" applyProtection="1">
      <protection hidden="1"/>
    </xf>
    <xf numFmtId="170" fontId="37" fillId="3" borderId="0" xfId="1" applyNumberFormat="1" applyFont="1" applyFill="1" applyBorder="1" applyAlignment="1" applyProtection="1">
      <protection hidden="1"/>
    </xf>
    <xf numFmtId="165" fontId="5" fillId="14" borderId="0" xfId="0" applyNumberFormat="1" applyFont="1" applyFill="1" applyAlignment="1" applyProtection="1">
      <alignment horizontal="left" indent="1"/>
      <protection hidden="1"/>
    </xf>
    <xf numFmtId="165" fontId="5" fillId="14" borderId="2" xfId="0" applyNumberFormat="1" applyFont="1" applyFill="1" applyBorder="1" applyAlignment="1" applyProtection="1">
      <alignment horizontal="left" indent="1"/>
      <protection hidden="1"/>
    </xf>
    <xf numFmtId="164" fontId="37" fillId="14" borderId="2" xfId="1" applyNumberFormat="1" applyFont="1" applyFill="1" applyBorder="1" applyAlignment="1" applyProtection="1">
      <protection hidden="1"/>
    </xf>
    <xf numFmtId="164" fontId="5" fillId="3" borderId="0" xfId="0" applyNumberFormat="1" applyFont="1" applyFill="1" applyAlignment="1" applyProtection="1">
      <alignment horizontal="right"/>
      <protection hidden="1"/>
    </xf>
    <xf numFmtId="164" fontId="37" fillId="3" borderId="0" xfId="3" applyNumberFormat="1" applyFont="1" applyFill="1" applyAlignment="1" applyProtection="1">
      <alignment horizontal="right" vertical="top"/>
      <protection hidden="1"/>
    </xf>
    <xf numFmtId="164" fontId="26" fillId="3" borderId="0" xfId="0" applyNumberFormat="1" applyFont="1" applyFill="1" applyAlignment="1" applyProtection="1">
      <alignment vertical="top"/>
      <protection hidden="1"/>
    </xf>
    <xf numFmtId="164" fontId="37" fillId="3" borderId="4" xfId="0" applyNumberFormat="1" applyFont="1" applyFill="1" applyBorder="1" applyAlignment="1" applyProtection="1">
      <alignment horizontal="right"/>
      <protection hidden="1"/>
    </xf>
    <xf numFmtId="165" fontId="66" fillId="3" borderId="0" xfId="3" applyNumberFormat="1" applyFont="1" applyFill="1" applyAlignment="1" applyProtection="1">
      <alignment horizontal="left" vertical="top" indent="10"/>
      <protection hidden="1"/>
    </xf>
    <xf numFmtId="165" fontId="51" fillId="3" borderId="0" xfId="3" applyNumberFormat="1" applyFont="1" applyFill="1" applyAlignment="1" applyProtection="1">
      <alignment horizontal="right" vertical="top"/>
      <protection hidden="1"/>
    </xf>
    <xf numFmtId="165" fontId="37" fillId="3" borderId="0" xfId="3" applyNumberFormat="1" applyFont="1" applyFill="1" applyAlignment="1" applyProtection="1">
      <alignment horizontal="right" vertical="top"/>
      <protection hidden="1"/>
    </xf>
    <xf numFmtId="165" fontId="38" fillId="3" borderId="0" xfId="3" applyNumberFormat="1" applyFont="1" applyFill="1" applyAlignment="1" applyProtection="1">
      <alignment horizontal="right" vertical="top"/>
      <protection hidden="1"/>
    </xf>
    <xf numFmtId="165" fontId="39" fillId="3" borderId="0" xfId="3" applyNumberFormat="1" applyFont="1" applyFill="1" applyAlignment="1" applyProtection="1">
      <alignment vertical="top"/>
      <protection hidden="1"/>
    </xf>
    <xf numFmtId="164" fontId="6" fillId="3" borderId="0" xfId="0" applyNumberFormat="1" applyFont="1" applyFill="1" applyAlignment="1" applyProtection="1">
      <alignment horizontal="right" vertical="top"/>
      <protection hidden="1"/>
    </xf>
    <xf numFmtId="165" fontId="53" fillId="3" borderId="0" xfId="0" applyNumberFormat="1" applyFont="1" applyFill="1" applyAlignment="1" applyProtection="1">
      <alignment horizontal="right" vertical="top"/>
      <protection hidden="1"/>
    </xf>
    <xf numFmtId="164" fontId="38" fillId="3" borderId="74" xfId="0" applyNumberFormat="1" applyFont="1" applyFill="1" applyBorder="1" applyAlignment="1" applyProtection="1">
      <alignment horizontal="right"/>
      <protection hidden="1"/>
    </xf>
    <xf numFmtId="165" fontId="38" fillId="3" borderId="0" xfId="0" applyNumberFormat="1" applyFont="1" applyFill="1" applyAlignment="1" applyProtection="1">
      <alignment horizontal="right"/>
      <protection hidden="1"/>
    </xf>
    <xf numFmtId="165" fontId="38" fillId="9" borderId="2" xfId="0" applyNumberFormat="1" applyFont="1" applyFill="1" applyBorder="1" applyAlignment="1" applyProtection="1">
      <alignment horizontal="right"/>
      <protection hidden="1"/>
    </xf>
    <xf numFmtId="165" fontId="38" fillId="3" borderId="0" xfId="0" applyNumberFormat="1" applyFont="1" applyFill="1" applyAlignment="1" applyProtection="1">
      <alignment horizontal="right" vertical="top"/>
      <protection hidden="1"/>
    </xf>
    <xf numFmtId="164" fontId="42" fillId="3" borderId="0" xfId="0" applyNumberFormat="1" applyFont="1" applyFill="1" applyProtection="1">
      <protection hidden="1"/>
    </xf>
    <xf numFmtId="0" fontId="30" fillId="4" borderId="81" xfId="0" applyFont="1" applyFill="1" applyBorder="1" applyProtection="1">
      <protection hidden="1"/>
    </xf>
    <xf numFmtId="0" fontId="19" fillId="4" borderId="3" xfId="3" applyFont="1" applyFill="1" applyBorder="1" applyProtection="1">
      <protection hidden="1"/>
    </xf>
    <xf numFmtId="168" fontId="23" fillId="4" borderId="5" xfId="3" applyNumberFormat="1" applyFont="1" applyFill="1" applyBorder="1" applyAlignment="1" applyProtection="1">
      <alignment horizontal="right"/>
      <protection hidden="1"/>
    </xf>
    <xf numFmtId="164" fontId="25" fillId="4" borderId="0" xfId="0" applyNumberFormat="1" applyFont="1" applyFill="1" applyAlignment="1" applyProtection="1">
      <alignment horizontal="center"/>
      <protection hidden="1"/>
    </xf>
    <xf numFmtId="168" fontId="33" fillId="4" borderId="0" xfId="3" applyNumberFormat="1" applyFont="1" applyFill="1" applyAlignment="1" applyProtection="1">
      <alignment horizontal="center" vertical="center"/>
      <protection hidden="1"/>
    </xf>
    <xf numFmtId="0" fontId="34" fillId="4" borderId="0" xfId="0" applyFont="1" applyFill="1" applyAlignment="1" applyProtection="1">
      <alignment horizontal="center"/>
      <protection hidden="1"/>
    </xf>
    <xf numFmtId="0" fontId="26" fillId="3" borderId="7" xfId="0" applyFont="1" applyFill="1" applyBorder="1" applyProtection="1">
      <protection hidden="1"/>
    </xf>
    <xf numFmtId="0" fontId="45" fillId="3" borderId="0" xfId="0" applyFont="1" applyFill="1" applyProtection="1">
      <protection hidden="1"/>
    </xf>
    <xf numFmtId="165" fontId="37" fillId="9" borderId="0" xfId="0" applyNumberFormat="1" applyFont="1" applyFill="1" applyAlignment="1" applyProtection="1">
      <alignment vertical="center"/>
      <protection hidden="1"/>
    </xf>
    <xf numFmtId="165" fontId="37" fillId="3" borderId="0" xfId="0" applyNumberFormat="1" applyFont="1" applyFill="1" applyAlignment="1" applyProtection="1">
      <alignment vertical="center"/>
      <protection hidden="1"/>
    </xf>
    <xf numFmtId="165" fontId="37" fillId="14" borderId="0" xfId="0" applyNumberFormat="1" applyFont="1" applyFill="1" applyAlignment="1" applyProtection="1">
      <alignment vertical="center"/>
      <protection hidden="1"/>
    </xf>
    <xf numFmtId="171" fontId="37" fillId="3" borderId="0" xfId="1" applyNumberFormat="1" applyFont="1" applyFill="1" applyBorder="1" applyAlignment="1" applyProtection="1">
      <alignment vertical="center"/>
      <protection hidden="1"/>
    </xf>
    <xf numFmtId="165" fontId="37" fillId="3" borderId="0" xfId="0" applyNumberFormat="1" applyFont="1" applyFill="1" applyProtection="1">
      <protection hidden="1"/>
    </xf>
    <xf numFmtId="171" fontId="37" fillId="3" borderId="0" xfId="1" applyNumberFormat="1" applyFont="1" applyFill="1" applyBorder="1" applyAlignment="1" applyProtection="1">
      <protection hidden="1"/>
    </xf>
    <xf numFmtId="171" fontId="37" fillId="3" borderId="0" xfId="1" applyNumberFormat="1" applyFont="1" applyFill="1" applyAlignment="1" applyProtection="1">
      <protection hidden="1"/>
    </xf>
    <xf numFmtId="165" fontId="37" fillId="14" borderId="0" xfId="0" applyNumberFormat="1" applyFont="1" applyFill="1" applyProtection="1">
      <protection hidden="1"/>
    </xf>
    <xf numFmtId="164" fontId="4" fillId="3" borderId="0" xfId="3" applyNumberFormat="1" applyFont="1" applyFill="1" applyAlignment="1" applyProtection="1">
      <alignment horizontal="right" vertical="center"/>
      <protection hidden="1"/>
    </xf>
    <xf numFmtId="164" fontId="35" fillId="14" borderId="0" xfId="3" applyNumberFormat="1" applyFont="1" applyFill="1" applyAlignment="1" applyProtection="1">
      <alignment horizontal="left" indent="2"/>
      <protection hidden="1"/>
    </xf>
    <xf numFmtId="164" fontId="68" fillId="3" borderId="0" xfId="0" applyNumberFormat="1" applyFont="1" applyFill="1" applyAlignment="1" applyProtection="1">
      <alignment horizontal="right"/>
      <protection hidden="1"/>
    </xf>
    <xf numFmtId="164" fontId="68" fillId="3" borderId="0" xfId="3" applyNumberFormat="1" applyFont="1" applyFill="1" applyAlignment="1" applyProtection="1">
      <alignment horizontal="right"/>
      <protection hidden="1"/>
    </xf>
    <xf numFmtId="164" fontId="68" fillId="14" borderId="0" xfId="3" applyNumberFormat="1" applyFont="1" applyFill="1" applyAlignment="1" applyProtection="1">
      <alignment horizontal="right"/>
      <protection hidden="1"/>
    </xf>
    <xf numFmtId="164" fontId="68" fillId="14" borderId="0" xfId="0" applyNumberFormat="1" applyFont="1" applyFill="1" applyAlignment="1" applyProtection="1">
      <alignment horizontal="right"/>
      <protection hidden="1"/>
    </xf>
    <xf numFmtId="0" fontId="69" fillId="3" borderId="0" xfId="0" applyFont="1" applyFill="1" applyProtection="1">
      <protection hidden="1"/>
    </xf>
    <xf numFmtId="0" fontId="62" fillId="3" borderId="0" xfId="0" applyFont="1" applyFill="1" applyProtection="1">
      <protection hidden="1"/>
    </xf>
    <xf numFmtId="0" fontId="0" fillId="3" borderId="0" xfId="0" applyFill="1" applyProtection="1">
      <protection hidden="1"/>
    </xf>
    <xf numFmtId="0" fontId="50" fillId="3" borderId="0" xfId="0" applyFont="1" applyFill="1" applyProtection="1">
      <protection hidden="1"/>
    </xf>
    <xf numFmtId="0" fontId="62" fillId="3" borderId="0" xfId="0" applyFont="1" applyFill="1" applyAlignment="1" applyProtection="1">
      <alignment vertical="top"/>
      <protection hidden="1"/>
    </xf>
    <xf numFmtId="0" fontId="61" fillId="3" borderId="0" xfId="0" applyFont="1" applyFill="1" applyProtection="1">
      <protection hidden="1"/>
    </xf>
    <xf numFmtId="0" fontId="21" fillId="0" borderId="4" xfId="3" applyFont="1" applyBorder="1" applyProtection="1">
      <protection hidden="1"/>
    </xf>
    <xf numFmtId="0" fontId="21" fillId="0" borderId="3" xfId="3" applyFont="1" applyBorder="1" applyProtection="1">
      <protection hidden="1"/>
    </xf>
    <xf numFmtId="0" fontId="21" fillId="0" borderId="5" xfId="3" applyFont="1" applyBorder="1" applyProtection="1">
      <protection hidden="1"/>
    </xf>
    <xf numFmtId="0" fontId="5" fillId="0" borderId="0" xfId="0" applyFont="1" applyAlignment="1" applyProtection="1">
      <alignment vertical="center"/>
      <protection hidden="1"/>
    </xf>
    <xf numFmtId="0" fontId="70" fillId="3" borderId="0" xfId="0" applyFont="1" applyFill="1" applyAlignment="1" applyProtection="1">
      <alignment vertical="center"/>
      <protection hidden="1"/>
    </xf>
    <xf numFmtId="0" fontId="5" fillId="0" borderId="0" xfId="0" applyFont="1" applyAlignment="1" applyProtection="1">
      <alignment vertical="top"/>
      <protection hidden="1"/>
    </xf>
    <xf numFmtId="0" fontId="70" fillId="3" borderId="0" xfId="0" applyFont="1" applyFill="1" applyAlignment="1" applyProtection="1">
      <alignment vertical="top"/>
      <protection hidden="1"/>
    </xf>
    <xf numFmtId="164" fontId="28" fillId="5" borderId="41" xfId="2" applyNumberFormat="1" applyFont="1" applyFill="1" applyBorder="1" applyAlignment="1" applyProtection="1">
      <protection hidden="1"/>
    </xf>
    <xf numFmtId="164" fontId="28" fillId="5" borderId="42" xfId="2" applyNumberFormat="1" applyFont="1" applyFill="1" applyBorder="1" applyAlignment="1" applyProtection="1">
      <alignment horizontal="center"/>
      <protection hidden="1"/>
    </xf>
    <xf numFmtId="164" fontId="28" fillId="5" borderId="38" xfId="2" applyNumberFormat="1" applyFont="1" applyFill="1" applyBorder="1" applyAlignment="1" applyProtection="1">
      <alignment horizontal="center"/>
      <protection hidden="1"/>
    </xf>
    <xf numFmtId="164" fontId="28" fillId="5" borderId="43" xfId="2" applyNumberFormat="1" applyFont="1" applyFill="1" applyBorder="1" applyAlignment="1" applyProtection="1">
      <alignment horizontal="center"/>
      <protection hidden="1"/>
    </xf>
    <xf numFmtId="165" fontId="4" fillId="11" borderId="0" xfId="3" applyNumberFormat="1" applyFont="1" applyFill="1" applyAlignment="1" applyProtection="1">
      <alignment horizontal="center"/>
      <protection hidden="1"/>
    </xf>
    <xf numFmtId="172" fontId="4" fillId="11" borderId="0" xfId="3" applyNumberFormat="1" applyFont="1" applyFill="1" applyAlignment="1" applyProtection="1">
      <alignment horizontal="center"/>
      <protection hidden="1"/>
    </xf>
    <xf numFmtId="165" fontId="4" fillId="12" borderId="0" xfId="3" applyNumberFormat="1" applyFont="1" applyFill="1" applyAlignment="1" applyProtection="1">
      <alignment horizontal="center"/>
      <protection hidden="1"/>
    </xf>
    <xf numFmtId="164" fontId="25" fillId="5" borderId="36" xfId="2" applyNumberFormat="1" applyFont="1" applyFill="1" applyBorder="1" applyAlignment="1" applyProtection="1">
      <alignment horizontal="center"/>
      <protection hidden="1"/>
    </xf>
    <xf numFmtId="164" fontId="25" fillId="5" borderId="37" xfId="2" applyNumberFormat="1" applyFont="1" applyFill="1" applyBorder="1" applyAlignment="1" applyProtection="1">
      <alignment horizontal="center"/>
      <protection hidden="1"/>
    </xf>
    <xf numFmtId="164" fontId="25" fillId="5" borderId="39" xfId="2" applyNumberFormat="1" applyFont="1" applyFill="1" applyBorder="1" applyAlignment="1" applyProtection="1">
      <alignment horizontal="center"/>
      <protection hidden="1"/>
    </xf>
    <xf numFmtId="38" fontId="25" fillId="5" borderId="41" xfId="2" applyNumberFormat="1" applyFont="1" applyFill="1" applyBorder="1" applyAlignment="1" applyProtection="1">
      <protection hidden="1"/>
    </xf>
    <xf numFmtId="164" fontId="25" fillId="5" borderId="44" xfId="2" applyNumberFormat="1" applyFont="1" applyFill="1" applyBorder="1" applyAlignment="1" applyProtection="1">
      <alignment horizontal="center"/>
      <protection hidden="1"/>
    </xf>
    <xf numFmtId="170" fontId="25" fillId="5" borderId="45" xfId="1" applyNumberFormat="1" applyFont="1" applyFill="1" applyBorder="1" applyAlignment="1" applyProtection="1">
      <alignment horizontal="center"/>
      <protection hidden="1"/>
    </xf>
    <xf numFmtId="164" fontId="28" fillId="5" borderId="44" xfId="2" applyNumberFormat="1" applyFont="1" applyFill="1" applyBorder="1" applyAlignment="1" applyProtection="1">
      <alignment horizontal="center"/>
      <protection hidden="1"/>
    </xf>
    <xf numFmtId="9" fontId="28" fillId="5" borderId="46" xfId="1" applyFont="1" applyFill="1" applyBorder="1" applyAlignment="1" applyProtection="1">
      <alignment horizontal="center"/>
      <protection hidden="1"/>
    </xf>
    <xf numFmtId="164" fontId="25" fillId="5" borderId="47" xfId="2" applyNumberFormat="1" applyFont="1" applyFill="1" applyBorder="1" applyAlignment="1" applyProtection="1">
      <alignment horizontal="center"/>
      <protection hidden="1"/>
    </xf>
    <xf numFmtId="164" fontId="25" fillId="5" borderId="48" xfId="2" applyNumberFormat="1" applyFont="1" applyFill="1" applyBorder="1" applyAlignment="1" applyProtection="1">
      <alignment horizontal="center"/>
      <protection hidden="1"/>
    </xf>
    <xf numFmtId="164" fontId="25" fillId="5" borderId="49" xfId="2" applyNumberFormat="1" applyFont="1" applyFill="1" applyBorder="1" applyAlignment="1" applyProtection="1">
      <alignment horizontal="center"/>
      <protection hidden="1"/>
    </xf>
    <xf numFmtId="170" fontId="25" fillId="5" borderId="50" xfId="1" applyNumberFormat="1" applyFont="1" applyFill="1" applyBorder="1" applyAlignment="1" applyProtection="1">
      <alignment horizontal="center"/>
      <protection hidden="1"/>
    </xf>
    <xf numFmtId="170" fontId="25" fillId="5" borderId="51" xfId="1" applyNumberFormat="1" applyFont="1" applyFill="1" applyBorder="1" applyAlignment="1" applyProtection="1">
      <alignment horizontal="center"/>
      <protection hidden="1"/>
    </xf>
    <xf numFmtId="164" fontId="25" fillId="5" borderId="38" xfId="1" applyNumberFormat="1" applyFont="1" applyFill="1" applyBorder="1" applyAlignment="1" applyProtection="1">
      <alignment horizontal="center"/>
      <protection hidden="1"/>
    </xf>
    <xf numFmtId="164" fontId="28" fillId="5" borderId="55" xfId="2" applyNumberFormat="1" applyFont="1" applyFill="1" applyBorder="1" applyAlignment="1" applyProtection="1">
      <protection hidden="1"/>
    </xf>
    <xf numFmtId="164" fontId="28" fillId="5" borderId="56" xfId="2" applyNumberFormat="1" applyFont="1" applyFill="1" applyBorder="1" applyAlignment="1" applyProtection="1">
      <alignment horizontal="center"/>
      <protection hidden="1"/>
    </xf>
    <xf numFmtId="164" fontId="28" fillId="5" borderId="57" xfId="2" applyNumberFormat="1" applyFont="1" applyFill="1" applyBorder="1" applyAlignment="1" applyProtection="1">
      <alignment horizontal="center"/>
      <protection hidden="1"/>
    </xf>
    <xf numFmtId="164" fontId="28" fillId="5" borderId="58" xfId="2" applyNumberFormat="1" applyFont="1" applyFill="1" applyBorder="1" applyAlignment="1" applyProtection="1">
      <alignment horizontal="center"/>
      <protection hidden="1"/>
    </xf>
    <xf numFmtId="164" fontId="25" fillId="5" borderId="59" xfId="2" applyNumberFormat="1" applyFont="1" applyFill="1" applyBorder="1" applyAlignment="1" applyProtection="1">
      <alignment horizontal="center"/>
      <protection hidden="1"/>
    </xf>
    <xf numFmtId="170" fontId="25" fillId="5" borderId="60" xfId="1" applyNumberFormat="1" applyFont="1" applyFill="1" applyBorder="1" applyAlignment="1" applyProtection="1">
      <alignment horizontal="center"/>
      <protection hidden="1"/>
    </xf>
    <xf numFmtId="38" fontId="25" fillId="5" borderId="55" xfId="2" applyNumberFormat="1" applyFont="1" applyFill="1" applyBorder="1" applyAlignment="1" applyProtection="1">
      <protection hidden="1"/>
    </xf>
    <xf numFmtId="9" fontId="25" fillId="5" borderId="46" xfId="1" applyFont="1" applyFill="1" applyBorder="1" applyAlignment="1" applyProtection="1">
      <alignment horizontal="center"/>
      <protection hidden="1"/>
    </xf>
    <xf numFmtId="164" fontId="25" fillId="5" borderId="61" xfId="2" applyNumberFormat="1" applyFont="1" applyFill="1" applyBorder="1" applyAlignment="1" applyProtection="1">
      <alignment horizontal="center"/>
      <protection hidden="1"/>
    </xf>
    <xf numFmtId="164" fontId="25" fillId="5" borderId="62" xfId="2" applyNumberFormat="1" applyFont="1" applyFill="1" applyBorder="1" applyAlignment="1" applyProtection="1">
      <alignment horizontal="center"/>
      <protection hidden="1"/>
    </xf>
    <xf numFmtId="164" fontId="28" fillId="5" borderId="63" xfId="2" applyNumberFormat="1" applyFont="1" applyFill="1" applyBorder="1" applyAlignment="1" applyProtection="1">
      <alignment horizontal="center"/>
      <protection hidden="1"/>
    </xf>
    <xf numFmtId="164" fontId="28" fillId="5" borderId="64" xfId="2" applyNumberFormat="1" applyFont="1" applyFill="1" applyBorder="1" applyAlignment="1" applyProtection="1">
      <alignment horizontal="center"/>
      <protection hidden="1"/>
    </xf>
    <xf numFmtId="164" fontId="25" fillId="5" borderId="65" xfId="2" applyNumberFormat="1" applyFont="1" applyFill="1" applyBorder="1" applyAlignment="1" applyProtection="1">
      <alignment horizontal="center"/>
      <protection hidden="1"/>
    </xf>
    <xf numFmtId="164" fontId="25" fillId="5" borderId="66" xfId="2" applyNumberFormat="1" applyFont="1" applyFill="1" applyBorder="1" applyAlignment="1" applyProtection="1">
      <alignment horizontal="center"/>
      <protection hidden="1"/>
    </xf>
    <xf numFmtId="164" fontId="28" fillId="5" borderId="67" xfId="2" applyNumberFormat="1" applyFont="1" applyFill="1" applyBorder="1" applyAlignment="1" applyProtection="1">
      <protection hidden="1"/>
    </xf>
    <xf numFmtId="164" fontId="28" fillId="5" borderId="68" xfId="2" applyNumberFormat="1" applyFont="1" applyFill="1" applyBorder="1" applyAlignment="1" applyProtection="1">
      <alignment horizontal="center"/>
      <protection hidden="1"/>
    </xf>
    <xf numFmtId="38" fontId="25" fillId="5" borderId="67" xfId="2" applyNumberFormat="1" applyFont="1" applyFill="1" applyBorder="1" applyAlignment="1" applyProtection="1">
      <protection hidden="1"/>
    </xf>
    <xf numFmtId="164" fontId="25" fillId="5" borderId="69" xfId="2" applyNumberFormat="1" applyFont="1" applyFill="1" applyBorder="1" applyAlignment="1" applyProtection="1">
      <alignment horizontal="center"/>
      <protection hidden="1"/>
    </xf>
    <xf numFmtId="170" fontId="25" fillId="5" borderId="70" xfId="1" applyNumberFormat="1" applyFont="1" applyFill="1" applyBorder="1" applyAlignment="1" applyProtection="1">
      <alignment horizontal="center"/>
      <protection hidden="1"/>
    </xf>
    <xf numFmtId="164" fontId="25" fillId="5" borderId="63" xfId="1" applyNumberFormat="1" applyFont="1" applyFill="1" applyBorder="1" applyAlignment="1" applyProtection="1">
      <alignment horizontal="center"/>
      <protection hidden="1"/>
    </xf>
    <xf numFmtId="9" fontId="25" fillId="5" borderId="71" xfId="1" applyFont="1" applyFill="1" applyBorder="1" applyAlignment="1" applyProtection="1">
      <alignment horizontal="center"/>
      <protection hidden="1"/>
    </xf>
    <xf numFmtId="170" fontId="25" fillId="5" borderId="72" xfId="1" applyNumberFormat="1" applyFont="1" applyFill="1" applyBorder="1" applyAlignment="1" applyProtection="1">
      <alignment horizontal="center"/>
      <protection hidden="1"/>
    </xf>
    <xf numFmtId="170" fontId="25" fillId="5" borderId="73" xfId="1" applyNumberFormat="1" applyFont="1" applyFill="1" applyBorder="1" applyAlignment="1" applyProtection="1">
      <alignment horizontal="center"/>
      <protection hidden="1"/>
    </xf>
    <xf numFmtId="164" fontId="71" fillId="5" borderId="41" xfId="2" applyNumberFormat="1" applyFont="1" applyFill="1" applyBorder="1" applyAlignment="1" applyProtection="1">
      <protection hidden="1"/>
    </xf>
    <xf numFmtId="164" fontId="71" fillId="5" borderId="38" xfId="2" applyNumberFormat="1" applyFont="1" applyFill="1" applyBorder="1" applyAlignment="1" applyProtection="1">
      <alignment horizontal="left"/>
      <protection hidden="1"/>
    </xf>
    <xf numFmtId="164" fontId="71" fillId="5" borderId="42" xfId="2" applyNumberFormat="1" applyFont="1" applyFill="1" applyBorder="1" applyAlignment="1" applyProtection="1">
      <alignment horizontal="center"/>
      <protection hidden="1"/>
    </xf>
    <xf numFmtId="164" fontId="71" fillId="5" borderId="38" xfId="2" applyNumberFormat="1" applyFont="1" applyFill="1" applyBorder="1" applyAlignment="1" applyProtection="1">
      <alignment horizontal="center"/>
      <protection hidden="1"/>
    </xf>
    <xf numFmtId="164" fontId="71" fillId="5" borderId="43" xfId="2" applyNumberFormat="1" applyFont="1" applyFill="1" applyBorder="1" applyAlignment="1" applyProtection="1">
      <alignment horizontal="center"/>
      <protection hidden="1"/>
    </xf>
    <xf numFmtId="164" fontId="71" fillId="5" borderId="26" xfId="2" applyNumberFormat="1" applyFont="1" applyFill="1" applyBorder="1" applyAlignment="1" applyProtection="1">
      <protection hidden="1"/>
    </xf>
    <xf numFmtId="164" fontId="71" fillId="5" borderId="22" xfId="2" applyNumberFormat="1" applyFont="1" applyFill="1" applyBorder="1" applyAlignment="1" applyProtection="1">
      <alignment horizontal="left"/>
      <protection hidden="1"/>
    </xf>
    <xf numFmtId="164" fontId="71" fillId="5" borderId="27" xfId="2" applyNumberFormat="1" applyFont="1" applyFill="1" applyBorder="1" applyAlignment="1" applyProtection="1">
      <alignment horizontal="center"/>
      <protection hidden="1"/>
    </xf>
    <xf numFmtId="164" fontId="71" fillId="5" borderId="22" xfId="2" applyNumberFormat="1" applyFont="1" applyFill="1" applyBorder="1" applyAlignment="1" applyProtection="1">
      <alignment horizontal="center"/>
      <protection hidden="1"/>
    </xf>
    <xf numFmtId="164" fontId="71" fillId="5" borderId="28" xfId="2" applyNumberFormat="1" applyFont="1" applyFill="1" applyBorder="1" applyAlignment="1" applyProtection="1">
      <alignment horizontal="center"/>
      <protection hidden="1"/>
    </xf>
    <xf numFmtId="164" fontId="71" fillId="6" borderId="20" xfId="2" applyNumberFormat="1" applyFont="1" applyFill="1" applyBorder="1" applyAlignment="1" applyProtection="1">
      <alignment horizontal="center"/>
      <protection hidden="1"/>
    </xf>
    <xf numFmtId="164" fontId="71" fillId="5" borderId="21" xfId="2" applyNumberFormat="1" applyFont="1" applyFill="1" applyBorder="1" applyAlignment="1" applyProtection="1">
      <alignment horizontal="center"/>
      <protection hidden="1"/>
    </xf>
    <xf numFmtId="164" fontId="71" fillId="6" borderId="23" xfId="2" applyNumberFormat="1" applyFont="1" applyFill="1" applyBorder="1" applyAlignment="1" applyProtection="1">
      <alignment horizontal="center"/>
      <protection hidden="1"/>
    </xf>
    <xf numFmtId="164" fontId="71" fillId="5" borderId="24" xfId="2" applyNumberFormat="1" applyFont="1" applyFill="1" applyBorder="1" applyAlignment="1" applyProtection="1">
      <alignment horizontal="center"/>
      <protection hidden="1"/>
    </xf>
    <xf numFmtId="164" fontId="71" fillId="6" borderId="25" xfId="2" applyNumberFormat="1" applyFont="1" applyFill="1" applyBorder="1" applyAlignment="1" applyProtection="1">
      <alignment horizontal="center"/>
      <protection hidden="1"/>
    </xf>
    <xf numFmtId="165" fontId="72" fillId="11" borderId="0" xfId="3" applyNumberFormat="1" applyFont="1" applyFill="1" applyAlignment="1" applyProtection="1">
      <alignment horizontal="center"/>
      <protection hidden="1"/>
    </xf>
    <xf numFmtId="172" fontId="72" fillId="11" borderId="0" xfId="3" applyNumberFormat="1" applyFont="1" applyFill="1" applyAlignment="1" applyProtection="1">
      <alignment horizontal="center"/>
      <protection hidden="1"/>
    </xf>
    <xf numFmtId="165" fontId="72" fillId="12" borderId="0" xfId="3" applyNumberFormat="1" applyFont="1" applyFill="1" applyAlignment="1" applyProtection="1">
      <alignment horizontal="center"/>
      <protection hidden="1"/>
    </xf>
    <xf numFmtId="164" fontId="73" fillId="0" borderId="0" xfId="3" applyNumberFormat="1" applyFont="1" applyAlignment="1" applyProtection="1">
      <alignment horizontal="center"/>
      <protection hidden="1"/>
    </xf>
    <xf numFmtId="170" fontId="71" fillId="5" borderId="21" xfId="1" applyNumberFormat="1" applyFont="1" applyFill="1" applyBorder="1" applyAlignment="1" applyProtection="1">
      <alignment horizontal="center"/>
      <protection hidden="1"/>
    </xf>
    <xf numFmtId="170" fontId="71" fillId="5" borderId="34" xfId="1" applyNumberFormat="1" applyFont="1" applyFill="1" applyBorder="1" applyAlignment="1" applyProtection="1">
      <alignment horizontal="center"/>
      <protection hidden="1"/>
    </xf>
    <xf numFmtId="164" fontId="71" fillId="5" borderId="36" xfId="2" applyNumberFormat="1" applyFont="1" applyFill="1" applyBorder="1" applyAlignment="1" applyProtection="1">
      <alignment horizontal="center"/>
      <protection hidden="1"/>
    </xf>
    <xf numFmtId="164" fontId="71" fillId="5" borderId="37" xfId="2" applyNumberFormat="1" applyFont="1" applyFill="1" applyBorder="1" applyAlignment="1" applyProtection="1">
      <alignment horizontal="center"/>
      <protection hidden="1"/>
    </xf>
    <xf numFmtId="38" fontId="71" fillId="5" borderId="41" xfId="2" applyNumberFormat="1" applyFont="1" applyFill="1" applyBorder="1" applyAlignment="1" applyProtection="1">
      <protection hidden="1"/>
    </xf>
    <xf numFmtId="164" fontId="71" fillId="5" borderId="44" xfId="2" applyNumberFormat="1" applyFont="1" applyFill="1" applyBorder="1" applyAlignment="1" applyProtection="1">
      <alignment horizontal="center"/>
      <protection hidden="1"/>
    </xf>
    <xf numFmtId="170" fontId="71" fillId="5" borderId="45" xfId="1" applyNumberFormat="1" applyFont="1" applyFill="1" applyBorder="1" applyAlignment="1" applyProtection="1">
      <alignment horizontal="center"/>
      <protection hidden="1"/>
    </xf>
    <xf numFmtId="9" fontId="71" fillId="5" borderId="46" xfId="1" applyFont="1" applyFill="1" applyBorder="1" applyAlignment="1" applyProtection="1">
      <alignment horizontal="center"/>
      <protection hidden="1"/>
    </xf>
    <xf numFmtId="164" fontId="71" fillId="5" borderId="47" xfId="2" applyNumberFormat="1" applyFont="1" applyFill="1" applyBorder="1" applyAlignment="1" applyProtection="1">
      <alignment horizontal="center"/>
      <protection hidden="1"/>
    </xf>
    <xf numFmtId="164" fontId="71" fillId="5" borderId="48" xfId="2" applyNumberFormat="1" applyFont="1" applyFill="1" applyBorder="1" applyAlignment="1" applyProtection="1">
      <alignment horizontal="center"/>
      <protection hidden="1"/>
    </xf>
    <xf numFmtId="164" fontId="71" fillId="5" borderId="49" xfId="2" applyNumberFormat="1" applyFont="1" applyFill="1" applyBorder="1" applyAlignment="1" applyProtection="1">
      <alignment horizontal="center"/>
      <protection hidden="1"/>
    </xf>
    <xf numFmtId="170" fontId="71" fillId="5" borderId="50" xfId="1" applyNumberFormat="1" applyFont="1" applyFill="1" applyBorder="1" applyAlignment="1" applyProtection="1">
      <alignment horizontal="center"/>
      <protection hidden="1"/>
    </xf>
    <xf numFmtId="170" fontId="71" fillId="5" borderId="51" xfId="1" applyNumberFormat="1" applyFont="1" applyFill="1" applyBorder="1" applyAlignment="1" applyProtection="1">
      <alignment horizontal="center"/>
      <protection hidden="1"/>
    </xf>
    <xf numFmtId="164" fontId="71" fillId="5" borderId="38" xfId="1" applyNumberFormat="1" applyFont="1" applyFill="1" applyBorder="1" applyAlignment="1" applyProtection="1">
      <alignment horizontal="center"/>
      <protection hidden="1"/>
    </xf>
    <xf numFmtId="164" fontId="73" fillId="0" borderId="0" xfId="0" applyNumberFormat="1" applyFont="1" applyAlignment="1" applyProtection="1">
      <alignment horizontal="center"/>
      <protection hidden="1"/>
    </xf>
    <xf numFmtId="164" fontId="73" fillId="0" borderId="0" xfId="3" applyNumberFormat="1" applyFont="1" applyAlignment="1" applyProtection="1">
      <alignment horizontal="center" vertical="top"/>
      <protection hidden="1"/>
    </xf>
    <xf numFmtId="164" fontId="71" fillId="5" borderId="35" xfId="2" applyNumberFormat="1" applyFont="1" applyFill="1" applyBorder="1" applyAlignment="1" applyProtection="1">
      <alignment horizontal="center"/>
      <protection hidden="1"/>
    </xf>
    <xf numFmtId="170" fontId="71" fillId="5" borderId="54" xfId="1" applyNumberFormat="1" applyFont="1" applyFill="1" applyBorder="1" applyAlignment="1" applyProtection="1">
      <alignment horizontal="center"/>
      <protection hidden="1"/>
    </xf>
    <xf numFmtId="170" fontId="71" fillId="5" borderId="35" xfId="1" applyNumberFormat="1" applyFont="1" applyFill="1" applyBorder="1" applyAlignment="1" applyProtection="1">
      <alignment horizontal="center"/>
      <protection hidden="1"/>
    </xf>
    <xf numFmtId="164" fontId="71" fillId="5" borderId="53" xfId="2" applyNumberFormat="1" applyFont="1" applyFill="1" applyBorder="1" applyAlignment="1" applyProtection="1">
      <alignment horizontal="center"/>
      <protection hidden="1"/>
    </xf>
    <xf numFmtId="170" fontId="71" fillId="5" borderId="19" xfId="1" applyNumberFormat="1" applyFont="1" applyFill="1" applyBorder="1" applyAlignment="1" applyProtection="1">
      <alignment horizontal="center"/>
      <protection hidden="1"/>
    </xf>
    <xf numFmtId="170" fontId="71" fillId="5" borderId="53" xfId="1" applyNumberFormat="1" applyFont="1" applyFill="1" applyBorder="1" applyAlignment="1" applyProtection="1">
      <alignment horizontal="center"/>
      <protection hidden="1"/>
    </xf>
    <xf numFmtId="9" fontId="71" fillId="5" borderId="35" xfId="1" applyFont="1" applyFill="1" applyBorder="1" applyAlignment="1" applyProtection="1">
      <alignment horizontal="center"/>
      <protection hidden="1"/>
    </xf>
    <xf numFmtId="164" fontId="71" fillId="5" borderId="54" xfId="2" applyNumberFormat="1" applyFont="1" applyFill="1" applyBorder="1" applyAlignment="1" applyProtection="1">
      <alignment horizontal="center"/>
      <protection hidden="1"/>
    </xf>
    <xf numFmtId="164" fontId="75" fillId="18" borderId="36" xfId="2" applyNumberFormat="1" applyFont="1" applyFill="1" applyBorder="1" applyAlignment="1" applyProtection="1">
      <alignment horizontal="center"/>
      <protection locked="0" hidden="1"/>
    </xf>
    <xf numFmtId="164" fontId="75" fillId="18" borderId="37" xfId="2" applyNumberFormat="1" applyFont="1" applyFill="1" applyBorder="1" applyAlignment="1" applyProtection="1">
      <alignment horizontal="center"/>
      <protection locked="0" hidden="1"/>
    </xf>
    <xf numFmtId="164" fontId="75" fillId="18" borderId="40" xfId="2" applyNumberFormat="1" applyFont="1" applyFill="1" applyBorder="1" applyAlignment="1" applyProtection="1">
      <alignment horizontal="center"/>
      <protection locked="0" hidden="1"/>
    </xf>
    <xf numFmtId="164" fontId="75" fillId="18" borderId="38" xfId="2" applyNumberFormat="1" applyFont="1" applyFill="1" applyBorder="1" applyAlignment="1" applyProtection="1">
      <alignment horizontal="left"/>
      <protection locked="0" hidden="1"/>
    </xf>
    <xf numFmtId="164" fontId="75" fillId="18" borderId="42" xfId="2" applyNumberFormat="1" applyFont="1" applyFill="1" applyBorder="1" applyAlignment="1" applyProtection="1">
      <alignment horizontal="center"/>
      <protection locked="0" hidden="1"/>
    </xf>
    <xf numFmtId="164" fontId="75" fillId="18" borderId="38" xfId="2" applyNumberFormat="1" applyFont="1" applyFill="1" applyBorder="1" applyAlignment="1" applyProtection="1">
      <alignment horizontal="center"/>
      <protection locked="0" hidden="1"/>
    </xf>
    <xf numFmtId="164" fontId="75" fillId="18" borderId="43" xfId="2" applyNumberFormat="1" applyFont="1" applyFill="1" applyBorder="1" applyAlignment="1" applyProtection="1">
      <alignment horizontal="center"/>
      <protection locked="0" hidden="1"/>
    </xf>
    <xf numFmtId="164" fontId="75" fillId="18" borderId="30" xfId="2" applyNumberFormat="1" applyFont="1" applyFill="1" applyBorder="1" applyAlignment="1" applyProtection="1">
      <alignment horizontal="center"/>
      <protection locked="0" hidden="1"/>
    </xf>
    <xf numFmtId="170" fontId="75" fillId="18" borderId="31" xfId="1" applyNumberFormat="1" applyFont="1" applyFill="1" applyBorder="1" applyAlignment="1" applyProtection="1">
      <alignment horizontal="center"/>
      <protection locked="0" hidden="1"/>
    </xf>
    <xf numFmtId="164" fontId="75" fillId="18" borderId="27" xfId="2" applyNumberFormat="1" applyFont="1" applyFill="1" applyBorder="1" applyAlignment="1" applyProtection="1">
      <alignment horizontal="center"/>
      <protection locked="0" hidden="1"/>
    </xf>
    <xf numFmtId="164" fontId="75" fillId="18" borderId="32" xfId="2" applyNumberFormat="1" applyFont="1" applyFill="1" applyBorder="1" applyAlignment="1" applyProtection="1">
      <alignment horizontal="center"/>
      <protection locked="0" hidden="1"/>
    </xf>
    <xf numFmtId="9" fontId="75" fillId="18" borderId="33" xfId="1" applyFont="1" applyFill="1" applyBorder="1" applyAlignment="1" applyProtection="1">
      <alignment horizontal="center"/>
      <protection locked="0" hidden="1"/>
    </xf>
    <xf numFmtId="170" fontId="75" fillId="18" borderId="21" xfId="1" applyNumberFormat="1" applyFont="1" applyFill="1" applyBorder="1" applyAlignment="1" applyProtection="1">
      <alignment horizontal="center"/>
      <protection locked="0" hidden="1"/>
    </xf>
    <xf numFmtId="164" fontId="75" fillId="18" borderId="19" xfId="2" applyNumberFormat="1" applyFont="1" applyFill="1" applyBorder="1" applyAlignment="1" applyProtection="1">
      <alignment horizontal="center"/>
      <protection locked="0" hidden="1"/>
    </xf>
    <xf numFmtId="164" fontId="75" fillId="18" borderId="35" xfId="2" applyNumberFormat="1" applyFont="1" applyFill="1" applyBorder="1" applyAlignment="1" applyProtection="1">
      <alignment horizontal="center"/>
      <protection locked="0" hidden="1"/>
    </xf>
    <xf numFmtId="170" fontId="75" fillId="18" borderId="19" xfId="1" applyNumberFormat="1" applyFont="1" applyFill="1" applyBorder="1" applyAlignment="1" applyProtection="1">
      <alignment horizontal="center"/>
      <protection locked="0" hidden="1"/>
    </xf>
    <xf numFmtId="9" fontId="75" fillId="18" borderId="19" xfId="1" applyFont="1" applyFill="1" applyBorder="1" applyAlignment="1" applyProtection="1">
      <alignment horizontal="center"/>
      <protection locked="0" hidden="1"/>
    </xf>
    <xf numFmtId="164" fontId="75" fillId="5" borderId="29" xfId="2" applyNumberFormat="1" applyFont="1" applyFill="1" applyBorder="1" applyAlignment="1" applyProtection="1">
      <protection hidden="1"/>
    </xf>
    <xf numFmtId="164" fontId="75" fillId="5" borderId="41" xfId="2" applyNumberFormat="1" applyFont="1" applyFill="1" applyBorder="1" applyAlignment="1" applyProtection="1">
      <protection hidden="1"/>
    </xf>
    <xf numFmtId="164" fontId="15" fillId="3" borderId="7" xfId="3" applyNumberFormat="1" applyFont="1" applyFill="1" applyBorder="1" applyProtection="1">
      <protection hidden="1"/>
    </xf>
    <xf numFmtId="164" fontId="15" fillId="3" borderId="8" xfId="3" applyNumberFormat="1" applyFont="1" applyFill="1" applyBorder="1" applyProtection="1">
      <protection hidden="1"/>
    </xf>
    <xf numFmtId="0" fontId="11" fillId="3" borderId="2" xfId="3" applyFont="1" applyFill="1" applyBorder="1" applyAlignment="1" applyProtection="1">
      <alignment horizontal="center" vertical="center"/>
      <protection hidden="1"/>
    </xf>
    <xf numFmtId="168" fontId="22" fillId="4" borderId="4" xfId="3" applyNumberFormat="1" applyFont="1" applyFill="1" applyBorder="1" applyAlignment="1" applyProtection="1">
      <alignment horizontal="center" vertical="center"/>
      <protection hidden="1"/>
    </xf>
    <xf numFmtId="168" fontId="22" fillId="4" borderId="0" xfId="3" applyNumberFormat="1" applyFont="1" applyFill="1" applyAlignment="1" applyProtection="1">
      <alignment horizontal="center" vertical="center"/>
      <protection hidden="1"/>
    </xf>
    <xf numFmtId="164" fontId="17" fillId="3" borderId="7" xfId="0" applyNumberFormat="1" applyFont="1" applyFill="1" applyBorder="1" applyAlignment="1" applyProtection="1">
      <alignment horizontal="center"/>
      <protection hidden="1"/>
    </xf>
    <xf numFmtId="164" fontId="17" fillId="3" borderId="0" xfId="0" applyNumberFormat="1" applyFont="1" applyFill="1" applyAlignment="1" applyProtection="1">
      <alignment horizontal="center"/>
      <protection hidden="1"/>
    </xf>
    <xf numFmtId="164" fontId="18" fillId="0" borderId="0" xfId="3" applyNumberFormat="1" applyFont="1" applyAlignment="1" applyProtection="1">
      <alignment horizontal="center"/>
      <protection hidden="1"/>
    </xf>
    <xf numFmtId="164" fontId="18" fillId="0" borderId="8" xfId="3" applyNumberFormat="1" applyFont="1" applyBorder="1" applyAlignment="1" applyProtection="1">
      <alignment horizontal="center"/>
      <protection hidden="1"/>
    </xf>
    <xf numFmtId="0" fontId="15" fillId="3" borderId="4" xfId="0" applyFont="1" applyFill="1" applyBorder="1" applyAlignment="1" applyProtection="1">
      <alignment horizontal="center"/>
      <protection hidden="1"/>
    </xf>
    <xf numFmtId="0" fontId="15" fillId="3" borderId="5" xfId="0" applyFont="1" applyFill="1" applyBorder="1" applyAlignment="1" applyProtection="1">
      <alignment horizontal="center"/>
      <protection hidden="1"/>
    </xf>
    <xf numFmtId="164" fontId="8" fillId="0" borderId="0" xfId="3" applyNumberFormat="1" applyFont="1" applyAlignment="1" applyProtection="1">
      <alignment horizontal="left" vertical="top"/>
      <protection hidden="1"/>
    </xf>
    <xf numFmtId="0" fontId="11" fillId="0" borderId="2" xfId="3" applyFont="1" applyBorder="1" applyAlignment="1" applyProtection="1">
      <alignment horizontal="center" vertical="center"/>
      <protection hidden="1"/>
    </xf>
    <xf numFmtId="164" fontId="11" fillId="0" borderId="2" xfId="3" applyNumberFormat="1" applyFont="1" applyBorder="1" applyAlignment="1" applyProtection="1">
      <alignment horizontal="center" vertical="center"/>
      <protection hidden="1"/>
    </xf>
    <xf numFmtId="0" fontId="15" fillId="3" borderId="6" xfId="0" applyFont="1" applyFill="1" applyBorder="1" applyAlignment="1" applyProtection="1">
      <alignment horizontal="center"/>
      <protection hidden="1"/>
    </xf>
    <xf numFmtId="164" fontId="15" fillId="3" borderId="4" xfId="3" applyNumberFormat="1" applyFont="1" applyFill="1" applyBorder="1" applyAlignment="1" applyProtection="1">
      <alignment horizontal="center"/>
      <protection hidden="1"/>
    </xf>
    <xf numFmtId="0" fontId="11" fillId="0" borderId="2" xfId="0" applyFont="1" applyBorder="1" applyAlignment="1" applyProtection="1">
      <alignment horizontal="center" vertical="center"/>
      <protection hidden="1"/>
    </xf>
    <xf numFmtId="0" fontId="11" fillId="3" borderId="2" xfId="0" applyFont="1" applyFill="1" applyBorder="1" applyAlignment="1" applyProtection="1">
      <alignment horizontal="center" vertical="center"/>
      <protection hidden="1"/>
    </xf>
    <xf numFmtId="164" fontId="25" fillId="5" borderId="84" xfId="2" applyNumberFormat="1" applyFont="1" applyFill="1" applyBorder="1" applyAlignment="1" applyProtection="1">
      <alignment horizontal="center"/>
      <protection hidden="1"/>
    </xf>
    <xf numFmtId="164" fontId="25" fillId="5" borderId="85" xfId="2" applyNumberFormat="1" applyFont="1" applyFill="1" applyBorder="1" applyAlignment="1" applyProtection="1">
      <alignment horizontal="center"/>
      <protection hidden="1"/>
    </xf>
    <xf numFmtId="164" fontId="25" fillId="5" borderId="86" xfId="2" applyNumberFormat="1" applyFont="1" applyFill="1" applyBorder="1" applyAlignment="1" applyProtection="1">
      <alignment horizontal="center"/>
      <protection hidden="1"/>
    </xf>
    <xf numFmtId="164" fontId="25" fillId="5" borderId="87" xfId="2" applyNumberFormat="1" applyFont="1" applyFill="1" applyBorder="1" applyAlignment="1" applyProtection="1">
      <alignment horizontal="center"/>
      <protection hidden="1"/>
    </xf>
    <xf numFmtId="164" fontId="28" fillId="5" borderId="88" xfId="2" applyNumberFormat="1" applyFont="1" applyFill="1" applyBorder="1" applyAlignment="1" applyProtection="1">
      <alignment horizontal="center"/>
      <protection hidden="1"/>
    </xf>
    <xf numFmtId="164" fontId="28" fillId="5" borderId="89" xfId="2" applyNumberFormat="1" applyFont="1" applyFill="1" applyBorder="1" applyAlignment="1" applyProtection="1">
      <alignment horizontal="center"/>
      <protection hidden="1"/>
    </xf>
    <xf numFmtId="164" fontId="28" fillId="5" borderId="58" xfId="2" applyNumberFormat="1" applyFont="1" applyFill="1" applyBorder="1" applyAlignment="1" applyProtection="1">
      <alignment horizontal="center"/>
      <protection hidden="1"/>
    </xf>
    <xf numFmtId="164" fontId="28" fillId="5" borderId="28" xfId="2" applyNumberFormat="1" applyFont="1" applyFill="1" applyBorder="1" applyAlignment="1" applyProtection="1">
      <alignment horizontal="center"/>
      <protection hidden="1"/>
    </xf>
    <xf numFmtId="164" fontId="25" fillId="5" borderId="90" xfId="2" applyNumberFormat="1" applyFont="1" applyFill="1" applyBorder="1" applyAlignment="1" applyProtection="1">
      <alignment horizontal="center"/>
      <protection hidden="1"/>
    </xf>
    <xf numFmtId="164" fontId="25" fillId="5" borderId="91" xfId="2" applyNumberFormat="1" applyFont="1" applyFill="1" applyBorder="1" applyAlignment="1" applyProtection="1">
      <alignment horizontal="center"/>
      <protection hidden="1"/>
    </xf>
    <xf numFmtId="164" fontId="25" fillId="5" borderId="92" xfId="2" applyNumberFormat="1" applyFont="1" applyFill="1" applyBorder="1" applyAlignment="1" applyProtection="1">
      <alignment horizontal="center"/>
      <protection hidden="1"/>
    </xf>
    <xf numFmtId="164" fontId="25" fillId="5" borderId="93" xfId="2" applyNumberFormat="1" applyFont="1" applyFill="1" applyBorder="1" applyAlignment="1" applyProtection="1">
      <alignment horizontal="center"/>
      <protection hidden="1"/>
    </xf>
    <xf numFmtId="164" fontId="25" fillId="5" borderId="94" xfId="2" applyNumberFormat="1" applyFont="1" applyFill="1" applyBorder="1" applyAlignment="1" applyProtection="1">
      <alignment horizontal="center"/>
      <protection hidden="1"/>
    </xf>
    <xf numFmtId="164" fontId="25" fillId="5" borderId="95" xfId="2" applyNumberFormat="1" applyFont="1" applyFill="1" applyBorder="1" applyAlignment="1" applyProtection="1">
      <alignment horizontal="center"/>
      <protection hidden="1"/>
    </xf>
    <xf numFmtId="164" fontId="28" fillId="5" borderId="55" xfId="2" applyNumberFormat="1" applyFont="1" applyFill="1" applyBorder="1" applyAlignment="1" applyProtection="1">
      <protection hidden="1"/>
    </xf>
    <xf numFmtId="164" fontId="28" fillId="5" borderId="26" xfId="2" applyNumberFormat="1" applyFont="1" applyFill="1" applyBorder="1" applyAlignment="1" applyProtection="1">
      <protection hidden="1"/>
    </xf>
    <xf numFmtId="165" fontId="4" fillId="11" borderId="96" xfId="3" applyNumberFormat="1" applyFont="1" applyFill="1" applyBorder="1" applyAlignment="1" applyProtection="1">
      <alignment horizontal="center"/>
      <protection hidden="1"/>
    </xf>
    <xf numFmtId="165" fontId="4" fillId="11" borderId="0" xfId="3" applyNumberFormat="1" applyFont="1" applyFill="1" applyAlignment="1" applyProtection="1">
      <alignment horizontal="center"/>
      <protection hidden="1"/>
    </xf>
    <xf numFmtId="172" fontId="4" fillId="11" borderId="0" xfId="3" applyNumberFormat="1" applyFont="1" applyFill="1" applyAlignment="1" applyProtection="1">
      <alignment horizontal="center"/>
      <protection hidden="1"/>
    </xf>
    <xf numFmtId="165" fontId="4" fillId="12" borderId="0" xfId="3" applyNumberFormat="1" applyFont="1" applyFill="1" applyAlignment="1" applyProtection="1">
      <alignment horizontal="center"/>
      <protection hidden="1"/>
    </xf>
    <xf numFmtId="165" fontId="4" fillId="12" borderId="8" xfId="3" applyNumberFormat="1" applyFont="1" applyFill="1" applyBorder="1" applyAlignment="1" applyProtection="1">
      <alignment horizontal="center"/>
      <protection hidden="1"/>
    </xf>
    <xf numFmtId="38" fontId="25" fillId="5" borderId="55" xfId="2" applyNumberFormat="1" applyFont="1" applyFill="1" applyBorder="1" applyAlignment="1" applyProtection="1">
      <alignment horizontal="center"/>
      <protection hidden="1"/>
    </xf>
    <xf numFmtId="38" fontId="25" fillId="5" borderId="26" xfId="2" applyNumberFormat="1" applyFont="1" applyFill="1" applyBorder="1" applyAlignment="1" applyProtection="1">
      <alignment horizontal="center"/>
      <protection hidden="1"/>
    </xf>
    <xf numFmtId="164" fontId="25" fillId="5" borderId="59" xfId="2" applyNumberFormat="1" applyFont="1" applyFill="1" applyBorder="1" applyAlignment="1" applyProtection="1">
      <alignment horizontal="center"/>
      <protection hidden="1"/>
    </xf>
    <xf numFmtId="164" fontId="25" fillId="5" borderId="97" xfId="2" applyNumberFormat="1" applyFont="1" applyFill="1" applyBorder="1" applyAlignment="1" applyProtection="1">
      <alignment horizontal="center"/>
      <protection hidden="1"/>
    </xf>
    <xf numFmtId="170" fontId="25" fillId="5" borderId="60" xfId="1" applyNumberFormat="1" applyFont="1" applyFill="1" applyBorder="1" applyAlignment="1" applyProtection="1">
      <alignment horizontal="center"/>
      <protection hidden="1"/>
    </xf>
    <xf numFmtId="170" fontId="25" fillId="5" borderId="98" xfId="1" applyNumberFormat="1" applyFont="1" applyFill="1" applyBorder="1" applyAlignment="1" applyProtection="1">
      <alignment horizontal="center"/>
      <protection hidden="1"/>
    </xf>
    <xf numFmtId="38" fontId="25" fillId="5" borderId="99" xfId="2" applyNumberFormat="1" applyFont="1" applyFill="1" applyBorder="1" applyAlignment="1" applyProtection="1">
      <alignment horizontal="center"/>
      <protection hidden="1"/>
    </xf>
    <xf numFmtId="38" fontId="25" fillId="5" borderId="100" xfId="2" applyNumberFormat="1" applyFont="1" applyFill="1" applyBorder="1" applyAlignment="1" applyProtection="1">
      <alignment horizontal="center"/>
      <protection hidden="1"/>
    </xf>
    <xf numFmtId="164" fontId="25" fillId="5" borderId="88" xfId="1" applyNumberFormat="1" applyFont="1" applyFill="1" applyBorder="1" applyAlignment="1" applyProtection="1">
      <alignment horizontal="center"/>
      <protection hidden="1"/>
    </xf>
    <xf numFmtId="164" fontId="25" fillId="5" borderId="89" xfId="1" applyNumberFormat="1" applyFont="1" applyFill="1" applyBorder="1" applyAlignment="1" applyProtection="1">
      <alignment horizontal="center"/>
      <protection hidden="1"/>
    </xf>
    <xf numFmtId="9" fontId="28" fillId="5" borderId="101" xfId="1" applyFont="1" applyFill="1" applyBorder="1" applyAlignment="1" applyProtection="1">
      <alignment horizontal="center"/>
      <protection hidden="1"/>
    </xf>
    <xf numFmtId="9" fontId="28" fillId="5" borderId="102" xfId="1" applyFont="1" applyFill="1" applyBorder="1" applyAlignment="1" applyProtection="1">
      <alignment horizontal="center"/>
      <protection hidden="1"/>
    </xf>
    <xf numFmtId="165" fontId="4" fillId="8" borderId="0" xfId="3" applyNumberFormat="1" applyFont="1" applyFill="1" applyAlignment="1" applyProtection="1">
      <alignment horizontal="center"/>
      <protection hidden="1"/>
    </xf>
    <xf numFmtId="10" fontId="4" fillId="8" borderId="0" xfId="1" applyNumberFormat="1" applyFont="1" applyFill="1" applyAlignment="1" applyProtection="1">
      <alignment horizontal="center"/>
      <protection hidden="1"/>
    </xf>
    <xf numFmtId="164" fontId="29" fillId="0" borderId="7" xfId="0" applyNumberFormat="1" applyFont="1" applyBorder="1" applyAlignment="1" applyProtection="1">
      <alignment horizontal="center"/>
      <protection hidden="1"/>
    </xf>
    <xf numFmtId="164" fontId="25" fillId="5" borderId="103" xfId="2" applyNumberFormat="1" applyFont="1" applyFill="1" applyBorder="1" applyAlignment="1" applyProtection="1">
      <alignment horizontal="center"/>
      <protection hidden="1"/>
    </xf>
    <xf numFmtId="164" fontId="25" fillId="5" borderId="104" xfId="2" applyNumberFormat="1" applyFont="1" applyFill="1" applyBorder="1" applyAlignment="1" applyProtection="1">
      <alignment horizontal="center"/>
      <protection hidden="1"/>
    </xf>
    <xf numFmtId="170" fontId="25" fillId="5" borderId="105" xfId="1" applyNumberFormat="1" applyFont="1" applyFill="1" applyBorder="1" applyAlignment="1" applyProtection="1">
      <alignment horizontal="center"/>
      <protection hidden="1"/>
    </xf>
    <xf numFmtId="170" fontId="25" fillId="5" borderId="106" xfId="1" applyNumberFormat="1" applyFont="1" applyFill="1" applyBorder="1" applyAlignment="1" applyProtection="1">
      <alignment horizontal="center"/>
      <protection hidden="1"/>
    </xf>
    <xf numFmtId="170" fontId="25" fillId="5" borderId="107" xfId="1" applyNumberFormat="1" applyFont="1" applyFill="1" applyBorder="1" applyAlignment="1" applyProtection="1">
      <alignment horizontal="center"/>
      <protection hidden="1"/>
    </xf>
    <xf numFmtId="170" fontId="25" fillId="5" borderId="108" xfId="1" applyNumberFormat="1" applyFont="1" applyFill="1" applyBorder="1" applyAlignment="1" applyProtection="1">
      <alignment horizontal="center"/>
      <protection hidden="1"/>
    </xf>
    <xf numFmtId="9" fontId="4" fillId="8" borderId="7" xfId="1" applyFont="1" applyFill="1" applyBorder="1" applyAlignment="1" applyProtection="1">
      <alignment horizontal="center"/>
      <protection hidden="1"/>
    </xf>
    <xf numFmtId="164" fontId="4" fillId="3" borderId="0" xfId="0" applyNumberFormat="1" applyFont="1" applyFill="1" applyProtection="1">
      <protection hidden="1"/>
    </xf>
    <xf numFmtId="0" fontId="77" fillId="19" borderId="109" xfId="3" applyFont="1" applyFill="1" applyBorder="1" applyAlignment="1" applyProtection="1">
      <alignment horizontal="center"/>
      <protection hidden="1"/>
    </xf>
    <xf numFmtId="0" fontId="26" fillId="0" borderId="0" xfId="0" applyFont="1" applyProtection="1">
      <protection locked="0" hidden="1"/>
    </xf>
  </cellXfs>
  <cellStyles count="5">
    <cellStyle name="Comma 2" xfId="4" xr:uid="{17C7F407-1A97-4912-8FE5-5508B6C44979}"/>
    <cellStyle name="Normal" xfId="0" builtinId="0"/>
    <cellStyle name="Normal 2 2" xfId="3" xr:uid="{3E4861B4-78AD-407D-8F95-D50674CA3737}"/>
    <cellStyle name="Note" xfId="2" builtinId="10"/>
    <cellStyle name="Percent" xfId="1" builtinId="5"/>
  </cellStyles>
  <dxfs count="23">
    <dxf>
      <font>
        <b/>
        <i val="0"/>
        <color rgb="FFC00000"/>
      </font>
      <border>
        <vertical/>
        <horizontal/>
      </border>
    </dxf>
    <dxf>
      <font>
        <b/>
        <i val="0"/>
        <color rgb="FFC00000"/>
      </font>
      <border>
        <vertical/>
        <horizontal/>
      </border>
    </dxf>
    <dxf>
      <font>
        <color auto="1"/>
      </font>
      <fill>
        <patternFill>
          <bgColor rgb="FFFFCC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rgb="FFFFCC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rgb="FFFFCC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rgb="FFFFCC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rgb="FFFFCC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auto="1"/>
      </font>
      <fill>
        <patternFill>
          <bgColor rgb="FFFFCC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CC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CC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CC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auto="1"/>
      </font>
      <fill>
        <patternFill>
          <bgColor rgb="FFFFCC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auto="1"/>
      </font>
      <fill>
        <patternFill>
          <bgColor rgb="FFFFCC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colors>
    <mruColors>
      <color rgb="FFFFFFEB"/>
      <color rgb="FFE8EBF0"/>
      <color rgb="FFF5F6F9"/>
      <color rgb="FF009041"/>
      <color rgb="FF00A44A"/>
      <color rgb="FF00863D"/>
      <color rgb="FF009A46"/>
      <color rgb="FFBDD7EE"/>
      <color rgb="FFFEF5F0"/>
      <color rgb="FFEEF5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models.com/checkout/?add-to-cart=7461&amp;coupon=SAVE20" TargetMode="External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3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hyperlink" Target="https://excelmodels.com/checkout/?add-to-cart=7461&amp;coupon=SAVE20" TargetMode="External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hyperlink" Target="https://excelmodels.com/checkout/?add-to-cart=7461&amp;coupon=SAVE20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hyperlink" Target="https://excelmodels.com/checkout/?add-to-cart=7461&amp;coupon=SAVE20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hyperlink" Target="https://excelmodels.com/checkout/?add-to-cart=7461&amp;coupon=SAVE20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hyperlink" Target="https://excelmodels.com/checkout/?add-to-cart=7461&amp;coupon=SAVE20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hyperlink" Target="https://excelmodels.com/checkout/?add-to-cart=7461&amp;coupon=SAVE20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hyperlink" Target="https://excelmodels.com/checkout/?add-to-cart=7461&amp;coupon=SAVE20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hyperlink" Target="https://excelmodels.com/checkout/?add-to-cart=7461&amp;coupon=SAVE20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91440</xdr:rowOff>
    </xdr:from>
    <xdr:to>
      <xdr:col>8</xdr:col>
      <xdr:colOff>131642</xdr:colOff>
      <xdr:row>2</xdr:row>
      <xdr:rowOff>958806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78AD0A3-D55C-0903-1C90-21F36FF4C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" y="571500"/>
          <a:ext cx="6014282" cy="8673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45720</xdr:rowOff>
    </xdr:from>
    <xdr:to>
      <xdr:col>5</xdr:col>
      <xdr:colOff>276834</xdr:colOff>
      <xdr:row>19</xdr:row>
      <xdr:rowOff>53340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7CFBDE-D62A-4108-90C7-D211B8031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" y="3703320"/>
          <a:ext cx="3111474" cy="967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</xdr:row>
      <xdr:rowOff>68580</xdr:rowOff>
    </xdr:from>
    <xdr:to>
      <xdr:col>3</xdr:col>
      <xdr:colOff>716280</xdr:colOff>
      <xdr:row>1</xdr:row>
      <xdr:rowOff>266700</xdr:rowOff>
    </xdr:to>
    <xdr:pic>
      <xdr:nvPicPr>
        <xdr:cNvPr id="6" name="Pictur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338DBDE-0D79-4129-8185-0CBF07A9B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" y="19812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106680</xdr:colOff>
      <xdr:row>2</xdr:row>
      <xdr:rowOff>110033</xdr:rowOff>
    </xdr:from>
    <xdr:to>
      <xdr:col>14</xdr:col>
      <xdr:colOff>218241</xdr:colOff>
      <xdr:row>2</xdr:row>
      <xdr:rowOff>238049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D0EB5D57-DD9E-F554-7DBF-222964D049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0" y="331013"/>
          <a:ext cx="2694741" cy="128016"/>
        </a:xfrm>
        <a:prstGeom prst="rect">
          <a:avLst/>
        </a:prstGeom>
      </xdr:spPr>
    </xdr:pic>
    <xdr:clientData/>
  </xdr:twoCellAnchor>
  <xdr:twoCellAnchor editAs="oneCell">
    <xdr:from>
      <xdr:col>37</xdr:col>
      <xdr:colOff>571500</xdr:colOff>
      <xdr:row>2</xdr:row>
      <xdr:rowOff>60960</xdr:rowOff>
    </xdr:from>
    <xdr:to>
      <xdr:col>41</xdr:col>
      <xdr:colOff>53340</xdr:colOff>
      <xdr:row>2</xdr:row>
      <xdr:rowOff>259080</xdr:rowOff>
    </xdr:to>
    <xdr:pic>
      <xdr:nvPicPr>
        <xdr:cNvPr id="12" name="Picture 1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380286-E642-4992-BC52-ACAB13D17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0160" y="25908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60960</xdr:rowOff>
    </xdr:from>
    <xdr:to>
      <xdr:col>3</xdr:col>
      <xdr:colOff>0</xdr:colOff>
      <xdr:row>1</xdr:row>
      <xdr:rowOff>259080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D9C1E2-955C-4F2D-A9DC-6FB3221B1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19050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60960</xdr:rowOff>
    </xdr:from>
    <xdr:to>
      <xdr:col>3</xdr:col>
      <xdr:colOff>0</xdr:colOff>
      <xdr:row>1</xdr:row>
      <xdr:rowOff>259080</xdr:rowOff>
    </xdr:to>
    <xdr:pic>
      <xdr:nvPicPr>
        <xdr:cNvPr id="4" name="Pictur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AB26D1-3D8C-437A-AD38-9A3E80301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19050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60960</xdr:rowOff>
    </xdr:from>
    <xdr:to>
      <xdr:col>3</xdr:col>
      <xdr:colOff>0</xdr:colOff>
      <xdr:row>1</xdr:row>
      <xdr:rowOff>259080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5F3A49-EB8C-4D41-B22B-442545B63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19050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60960</xdr:rowOff>
    </xdr:from>
    <xdr:to>
      <xdr:col>3</xdr:col>
      <xdr:colOff>0</xdr:colOff>
      <xdr:row>1</xdr:row>
      <xdr:rowOff>259080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B7404B-7D14-4897-97BB-F230B13F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19050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60960</xdr:rowOff>
    </xdr:from>
    <xdr:to>
      <xdr:col>3</xdr:col>
      <xdr:colOff>0</xdr:colOff>
      <xdr:row>1</xdr:row>
      <xdr:rowOff>259080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FA520D-296E-490C-B748-59F1DB84A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19050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60960</xdr:rowOff>
    </xdr:from>
    <xdr:to>
      <xdr:col>3</xdr:col>
      <xdr:colOff>0</xdr:colOff>
      <xdr:row>1</xdr:row>
      <xdr:rowOff>259080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AD1200-C220-4FBB-A2F7-DFBF29F1B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19050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60960</xdr:rowOff>
    </xdr:from>
    <xdr:to>
      <xdr:col>2</xdr:col>
      <xdr:colOff>45720</xdr:colOff>
      <xdr:row>1</xdr:row>
      <xdr:rowOff>259080</xdr:rowOff>
    </xdr:to>
    <xdr:pic>
      <xdr:nvPicPr>
        <xdr:cNvPr id="4" name="Pictur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315E33-6B70-45E8-AE44-11BF6198F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19050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7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8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0F143-0CEF-4234-951D-38E205E8114A}">
  <sheetPr>
    <tabColor rgb="FF0080EA"/>
    <pageSetUpPr fitToPage="1"/>
  </sheetPr>
  <dimension ref="A1:BR11"/>
  <sheetViews>
    <sheetView showGridLines="0" showRowColHeaders="0" tabSelected="1" zoomScaleNormal="100" zoomScaleSheetLayoutView="85" workbookViewId="0"/>
  </sheetViews>
  <sheetFormatPr defaultColWidth="9.44140625" defaultRowHeight="12.6" x14ac:dyDescent="0.25"/>
  <cols>
    <col min="1" max="1" width="3" style="154" customWidth="1"/>
    <col min="2" max="2" width="4.88671875" style="154" customWidth="1"/>
    <col min="3" max="3" width="11.88671875" style="154" customWidth="1"/>
    <col min="4" max="4" width="13.88671875" style="154" customWidth="1"/>
    <col min="5" max="5" width="15.5546875" style="154" customWidth="1"/>
    <col min="6" max="6" width="13.77734375" style="154" customWidth="1"/>
    <col min="7" max="7" width="15.109375" style="154" customWidth="1"/>
    <col min="8" max="8" width="15.5546875" style="154" bestFit="1" customWidth="1"/>
    <col min="9" max="9" width="14.44140625" style="154" customWidth="1"/>
    <col min="10" max="16384" width="9.44140625" style="154"/>
  </cols>
  <sheetData>
    <row r="1" spans="1:70" s="6" customFormat="1" ht="10.199999999999999" x14ac:dyDescent="0.2">
      <c r="A1" s="1" t="s">
        <v>0</v>
      </c>
      <c r="B1" s="1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57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</row>
    <row r="2" spans="1:70" s="6" customFormat="1" ht="27.6" customHeight="1" x14ac:dyDescent="0.2">
      <c r="A2" s="1"/>
      <c r="B2" s="1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257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</row>
    <row r="3" spans="1:70" s="153" customFormat="1" ht="102.6" customHeight="1" x14ac:dyDescent="0.3"/>
    <row r="4" spans="1:70" ht="13.8" customHeight="1" x14ac:dyDescent="0.35">
      <c r="C4" s="320" t="s">
        <v>7</v>
      </c>
      <c r="D4" s="320" t="s">
        <v>127</v>
      </c>
      <c r="E4" s="320" t="s">
        <v>244</v>
      </c>
      <c r="F4" s="320" t="s">
        <v>300</v>
      </c>
      <c r="G4" s="320" t="s">
        <v>120</v>
      </c>
      <c r="H4" s="320" t="s">
        <v>134</v>
      </c>
    </row>
    <row r="5" spans="1:70" s="331" customFormat="1" ht="15" customHeight="1" x14ac:dyDescent="0.3">
      <c r="C5" s="332" t="s">
        <v>15</v>
      </c>
      <c r="D5" s="332" t="s">
        <v>263</v>
      </c>
      <c r="E5" s="332" t="s">
        <v>250</v>
      </c>
      <c r="F5" s="332" t="s">
        <v>264</v>
      </c>
      <c r="G5" s="332" t="s">
        <v>121</v>
      </c>
      <c r="H5" s="332" t="s">
        <v>299</v>
      </c>
    </row>
    <row r="6" spans="1:70" s="329" customFormat="1" ht="15.6" customHeight="1" x14ac:dyDescent="0.3">
      <c r="C6" s="330" t="s">
        <v>81</v>
      </c>
      <c r="D6" s="330" t="s">
        <v>252</v>
      </c>
      <c r="E6" s="330" t="s">
        <v>166</v>
      </c>
      <c r="F6" s="330" t="s">
        <v>295</v>
      </c>
      <c r="G6" s="330" t="s">
        <v>93</v>
      </c>
      <c r="H6" s="330" t="s">
        <v>298</v>
      </c>
    </row>
    <row r="7" spans="1:70" s="329" customFormat="1" ht="15.6" customHeight="1" x14ac:dyDescent="0.3">
      <c r="C7" s="330" t="s">
        <v>246</v>
      </c>
      <c r="D7" s="330" t="s">
        <v>253</v>
      </c>
      <c r="E7" s="330" t="s">
        <v>222</v>
      </c>
      <c r="F7" s="330" t="s">
        <v>251</v>
      </c>
      <c r="G7" s="330" t="s">
        <v>258</v>
      </c>
      <c r="H7" s="330" t="s">
        <v>297</v>
      </c>
    </row>
    <row r="8" spans="1:70" s="155" customFormat="1" ht="15.6" customHeight="1" x14ac:dyDescent="0.3">
      <c r="C8" s="330" t="s">
        <v>248</v>
      </c>
      <c r="D8" s="330" t="s">
        <v>245</v>
      </c>
      <c r="E8" s="330" t="s">
        <v>294</v>
      </c>
      <c r="F8" s="330" t="s">
        <v>260</v>
      </c>
      <c r="G8" s="330" t="s">
        <v>197</v>
      </c>
      <c r="H8" s="330" t="s">
        <v>255</v>
      </c>
    </row>
    <row r="9" spans="1:70" s="155" customFormat="1" ht="15.6" customHeight="1" x14ac:dyDescent="0.3">
      <c r="C9" s="330" t="s">
        <v>184</v>
      </c>
      <c r="D9" s="330" t="s">
        <v>292</v>
      </c>
      <c r="E9" s="330" t="s">
        <v>95</v>
      </c>
      <c r="F9" s="330" t="s">
        <v>296</v>
      </c>
      <c r="G9" s="330" t="s">
        <v>259</v>
      </c>
      <c r="H9" s="330" t="s">
        <v>249</v>
      </c>
    </row>
    <row r="10" spans="1:70" s="155" customFormat="1" ht="15.6" customHeight="1" x14ac:dyDescent="0.3">
      <c r="C10" s="330" t="s">
        <v>247</v>
      </c>
      <c r="D10" s="330" t="s">
        <v>254</v>
      </c>
      <c r="E10" s="330" t="s">
        <v>155</v>
      </c>
      <c r="F10" s="330" t="s">
        <v>261</v>
      </c>
      <c r="G10" s="330" t="s">
        <v>198</v>
      </c>
      <c r="H10" s="330" t="s">
        <v>256</v>
      </c>
    </row>
    <row r="11" spans="1:70" s="329" customFormat="1" ht="15.6" customHeight="1" x14ac:dyDescent="0.3">
      <c r="C11" s="330" t="s">
        <v>291</v>
      </c>
      <c r="D11" s="330" t="s">
        <v>293</v>
      </c>
      <c r="E11" s="330" t="s">
        <v>262</v>
      </c>
      <c r="F11" s="330" t="s">
        <v>118</v>
      </c>
      <c r="G11" s="330" t="s">
        <v>11</v>
      </c>
      <c r="H11" s="330" t="s">
        <v>257</v>
      </c>
    </row>
  </sheetData>
  <sheetProtection algorithmName="SHA-512" hashValue="meRKZYjQPXOMuP4jJiw3L4WnxT2E9pr9njT7APR3mIf0zrxrb3xkuArElvPnxnMVn0yUrt5qRU4dwL3DeEEIkw==" saltValue="0SvC9fa7SjVZeiTRK5VAcA==" spinCount="100000" sheet="1" objects="1" scenarios="1" selectLockedCells="1" selectUnlockedCells="1"/>
  <printOptions horizontalCentered="1"/>
  <pageMargins left="0.5" right="0.5" top="0.75" bottom="1" header="0.3" footer="0.3"/>
  <pageSetup scale="67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FCB99-E03B-438F-9158-76AB83195808}">
  <sheetPr>
    <tabColor rgb="FFFFF2CC"/>
  </sheetPr>
  <dimension ref="A1:AX67"/>
  <sheetViews>
    <sheetView showGridLines="0" showRowColHeaders="0" showZeros="0" zoomScaleNormal="100" zoomScaleSheetLayoutView="40" workbookViewId="0">
      <pane ySplit="6" topLeftCell="A7" activePane="bottomLeft" state="frozen"/>
      <selection activeCell="U12" sqref="U12"/>
      <selection pane="bottomLeft"/>
    </sheetView>
  </sheetViews>
  <sheetFormatPr defaultColWidth="8.88671875" defaultRowHeight="13.8" x14ac:dyDescent="0.3"/>
  <cols>
    <col min="1" max="1" width="0.5546875" style="72" customWidth="1"/>
    <col min="2" max="2" width="3.5546875" style="6" customWidth="1"/>
    <col min="3" max="3" width="2.109375" style="72" bestFit="1" customWidth="1"/>
    <col min="4" max="4" width="2.88671875" style="72" bestFit="1" customWidth="1"/>
    <col min="5" max="5" width="3.44140625" style="72" bestFit="1" customWidth="1"/>
    <col min="6" max="6" width="2.5546875" style="72" bestFit="1" customWidth="1"/>
    <col min="7" max="7" width="3.44140625" style="72" bestFit="1" customWidth="1"/>
    <col min="8" max="8" width="4" style="72" bestFit="1" customWidth="1"/>
    <col min="9" max="9" width="3.6640625" style="72" bestFit="1" customWidth="1"/>
    <col min="10" max="10" width="12.6640625" style="72" customWidth="1"/>
    <col min="11" max="11" width="5.33203125" style="72" bestFit="1" customWidth="1"/>
    <col min="12" max="12" width="2.5546875" style="72" bestFit="1" customWidth="1"/>
    <col min="13" max="13" width="3.44140625" style="72" bestFit="1" customWidth="1"/>
    <col min="14" max="14" width="2.5546875" style="72" bestFit="1" customWidth="1"/>
    <col min="15" max="15" width="3.44140625" style="72" bestFit="1" customWidth="1"/>
    <col min="16" max="16" width="4.77734375" style="72" bestFit="1" customWidth="1"/>
    <col min="17" max="19" width="3.44140625" style="87" hidden="1" customWidth="1"/>
    <col min="20" max="20" width="2.6640625" style="87" hidden="1" customWidth="1"/>
    <col min="21" max="21" width="3.21875" style="87" hidden="1" customWidth="1"/>
    <col min="22" max="22" width="3.6640625" style="87" hidden="1" customWidth="1"/>
    <col min="23" max="23" width="13.33203125" style="72" bestFit="1" customWidth="1"/>
    <col min="24" max="24" width="3.44140625" style="72" bestFit="1" customWidth="1"/>
    <col min="25" max="25" width="4.109375" style="88" bestFit="1" customWidth="1"/>
    <col min="26" max="26" width="12.6640625" style="72" customWidth="1"/>
    <col min="27" max="27" width="2.5546875" style="72" bestFit="1" customWidth="1"/>
    <col min="28" max="28" width="3.109375" style="72" bestFit="1" customWidth="1"/>
    <col min="29" max="29" width="3.88671875" style="72" bestFit="1" customWidth="1"/>
    <col min="30" max="30" width="5" style="72" bestFit="1" customWidth="1"/>
    <col min="31" max="31" width="0.6640625" style="71" hidden="1" customWidth="1"/>
    <col min="32" max="32" width="2.5546875" style="76" bestFit="1" customWidth="1"/>
    <col min="33" max="33" width="5" style="76" bestFit="1" customWidth="1"/>
    <col min="34" max="34" width="5.88671875" style="76" bestFit="1" customWidth="1"/>
    <col min="35" max="35" width="6.21875" style="87" hidden="1" customWidth="1"/>
    <col min="36" max="37" width="5.44140625" style="87" hidden="1" customWidth="1"/>
    <col min="38" max="38" width="10.6640625" style="72" customWidth="1"/>
    <col min="39" max="39" width="5" style="76" bestFit="1" customWidth="1"/>
    <col min="40" max="40" width="9.21875" style="72" customWidth="1"/>
    <col min="41" max="41" width="5" style="76" bestFit="1" customWidth="1"/>
    <col min="42" max="42" width="2.21875" style="72" customWidth="1"/>
    <col min="43" max="43" width="10.5546875" style="82" customWidth="1"/>
    <col min="44" max="48" width="8.33203125" style="82" customWidth="1"/>
    <col min="49" max="49" width="1.5546875" style="72" customWidth="1"/>
    <col min="50" max="16384" width="8.88671875" style="72"/>
  </cols>
  <sheetData>
    <row r="1" spans="1:50" ht="3" customHeight="1" x14ac:dyDescent="0.3">
      <c r="A1" s="502"/>
    </row>
    <row r="2" spans="1:50" s="500" customFormat="1" ht="10.8" customHeight="1" x14ac:dyDescent="0.25">
      <c r="B2" s="501" t="s">
        <v>301</v>
      </c>
    </row>
    <row r="3" spans="1:50" s="8" customFormat="1" ht="30" customHeight="1" x14ac:dyDescent="0.4">
      <c r="B3" s="6"/>
      <c r="C3" s="450" t="s">
        <v>1</v>
      </c>
      <c r="D3" s="450"/>
      <c r="E3" s="450"/>
      <c r="F3" s="450"/>
      <c r="G3" s="7"/>
      <c r="H3" s="173"/>
      <c r="I3" s="173"/>
      <c r="J3" s="4"/>
      <c r="K3" s="211"/>
      <c r="L3" s="211"/>
      <c r="M3" s="5"/>
      <c r="N3" s="5"/>
      <c r="O3" s="5"/>
      <c r="P3" s="5"/>
      <c r="Q3" s="174"/>
      <c r="R3" s="175"/>
      <c r="S3" s="176"/>
      <c r="V3" s="176"/>
      <c r="W3" s="177"/>
      <c r="X3" s="177"/>
      <c r="Y3" s="177"/>
      <c r="Z3" s="177"/>
      <c r="AA3" s="177"/>
      <c r="AC3" s="177"/>
      <c r="AD3" s="177"/>
      <c r="AE3" s="178"/>
      <c r="AF3" s="177"/>
      <c r="AG3" s="4"/>
      <c r="AH3" s="177"/>
      <c r="AI3" s="177"/>
      <c r="AJ3" s="177"/>
      <c r="AK3" s="177"/>
      <c r="AL3" s="177"/>
      <c r="AM3" s="179"/>
      <c r="AN3" s="180"/>
      <c r="AO3" s="177"/>
      <c r="AP3" s="177"/>
      <c r="AQ3" s="177"/>
      <c r="AR3" s="177"/>
      <c r="AS3" s="177"/>
      <c r="AT3" s="177"/>
      <c r="AU3" s="177"/>
      <c r="AV3" s="177"/>
      <c r="AW3" s="9"/>
    </row>
    <row r="4" spans="1:50" s="13" customFormat="1" ht="18" customHeight="1" x14ac:dyDescent="0.25">
      <c r="B4" s="314"/>
      <c r="C4" s="451" t="s">
        <v>2</v>
      </c>
      <c r="D4" s="451"/>
      <c r="E4" s="451"/>
      <c r="F4" s="451"/>
      <c r="G4" s="451"/>
      <c r="H4" s="451"/>
      <c r="I4" s="451"/>
      <c r="J4" s="452" t="s">
        <v>3</v>
      </c>
      <c r="K4" s="452"/>
      <c r="L4" s="452"/>
      <c r="M4" s="452"/>
      <c r="N4" s="452"/>
      <c r="O4" s="452"/>
      <c r="P4" s="452"/>
      <c r="Q4" s="10"/>
      <c r="R4" s="10"/>
      <c r="S4" s="10"/>
      <c r="T4" s="10"/>
      <c r="U4" s="10"/>
      <c r="V4" s="10"/>
      <c r="W4" s="455" t="s">
        <v>4</v>
      </c>
      <c r="X4" s="455"/>
      <c r="Y4" s="455"/>
      <c r="Z4" s="451" t="s">
        <v>5</v>
      </c>
      <c r="AA4" s="451"/>
      <c r="AB4" s="451"/>
      <c r="AC4" s="451"/>
      <c r="AD4" s="451"/>
      <c r="AE4" s="12"/>
      <c r="AF4" s="451" t="s">
        <v>6</v>
      </c>
      <c r="AG4" s="451"/>
      <c r="AH4" s="451"/>
      <c r="AI4" s="11"/>
      <c r="AJ4" s="11"/>
      <c r="AK4" s="11"/>
      <c r="AL4" s="456" t="s">
        <v>7</v>
      </c>
      <c r="AM4" s="456"/>
      <c r="AN4" s="456" t="s">
        <v>8</v>
      </c>
      <c r="AO4" s="456"/>
      <c r="AQ4" s="441" t="s">
        <v>9</v>
      </c>
      <c r="AR4" s="441"/>
      <c r="AS4" s="441"/>
      <c r="AT4" s="441"/>
      <c r="AU4" s="441"/>
      <c r="AV4" s="441"/>
      <c r="AW4" s="441"/>
    </row>
    <row r="5" spans="1:50" s="27" customFormat="1" x14ac:dyDescent="0.3">
      <c r="B5" s="14"/>
      <c r="C5" s="15"/>
      <c r="D5" s="448" t="s">
        <v>10</v>
      </c>
      <c r="E5" s="448"/>
      <c r="F5" s="448" t="s">
        <v>11</v>
      </c>
      <c r="G5" s="448"/>
      <c r="H5" s="448"/>
      <c r="I5" s="449"/>
      <c r="J5" s="16"/>
      <c r="K5" s="17"/>
      <c r="L5" s="453" t="s">
        <v>12</v>
      </c>
      <c r="M5" s="448"/>
      <c r="N5" s="454" t="s">
        <v>13</v>
      </c>
      <c r="O5" s="454"/>
      <c r="P5" s="18" t="s">
        <v>14</v>
      </c>
      <c r="Q5" s="444" t="s">
        <v>192</v>
      </c>
      <c r="R5" s="445"/>
      <c r="S5" s="445"/>
      <c r="T5" s="446" t="s">
        <v>188</v>
      </c>
      <c r="U5" s="446"/>
      <c r="V5" s="447"/>
      <c r="W5" s="20"/>
      <c r="X5" s="448"/>
      <c r="Y5" s="449"/>
      <c r="Z5" s="21"/>
      <c r="AA5" s="22"/>
      <c r="AB5" s="22"/>
      <c r="AC5" s="448"/>
      <c r="AD5" s="449"/>
      <c r="AE5" s="23"/>
      <c r="AF5" s="24"/>
      <c r="AG5" s="25"/>
      <c r="AH5" s="26"/>
      <c r="AL5" s="326"/>
      <c r="AM5" s="326"/>
      <c r="AN5" s="327"/>
      <c r="AO5" s="328"/>
      <c r="AP5" s="28"/>
      <c r="AQ5" s="299"/>
      <c r="AR5" s="442" t="s">
        <v>17</v>
      </c>
      <c r="AS5" s="442" t="s">
        <v>18</v>
      </c>
      <c r="AT5" s="442" t="s">
        <v>19</v>
      </c>
      <c r="AU5" s="442" t="s">
        <v>20</v>
      </c>
      <c r="AV5" s="442" t="s">
        <v>21</v>
      </c>
      <c r="AW5" s="300"/>
    </row>
    <row r="6" spans="1:50" s="55" customFormat="1" ht="13.2" x14ac:dyDescent="0.3">
      <c r="B6" s="14"/>
      <c r="C6" s="29" t="s">
        <v>22</v>
      </c>
      <c r="D6" s="30" t="s">
        <v>23</v>
      </c>
      <c r="E6" s="31" t="s">
        <v>24</v>
      </c>
      <c r="F6" s="32" t="s">
        <v>22</v>
      </c>
      <c r="G6" s="30" t="s">
        <v>25</v>
      </c>
      <c r="H6" s="33" t="s">
        <v>26</v>
      </c>
      <c r="I6" s="34" t="s">
        <v>27</v>
      </c>
      <c r="J6" s="35" t="s">
        <v>28</v>
      </c>
      <c r="K6" s="30" t="s">
        <v>29</v>
      </c>
      <c r="L6" s="36" t="s">
        <v>22</v>
      </c>
      <c r="M6" s="37" t="s">
        <v>30</v>
      </c>
      <c r="N6" s="36" t="s">
        <v>22</v>
      </c>
      <c r="O6" s="37" t="s">
        <v>30</v>
      </c>
      <c r="P6" s="38" t="s">
        <v>31</v>
      </c>
      <c r="Q6" s="39" t="s">
        <v>189</v>
      </c>
      <c r="R6" s="39" t="s">
        <v>190</v>
      </c>
      <c r="S6" s="39" t="s">
        <v>191</v>
      </c>
      <c r="T6" s="19" t="s">
        <v>185</v>
      </c>
      <c r="U6" s="19" t="s">
        <v>32</v>
      </c>
      <c r="V6" s="19" t="s">
        <v>187</v>
      </c>
      <c r="W6" s="40" t="s">
        <v>28</v>
      </c>
      <c r="X6" s="41" t="s">
        <v>33</v>
      </c>
      <c r="Y6" s="42" t="s">
        <v>34</v>
      </c>
      <c r="Z6" s="40" t="s">
        <v>35</v>
      </c>
      <c r="AA6" s="43" t="s">
        <v>22</v>
      </c>
      <c r="AB6" s="44" t="s">
        <v>36</v>
      </c>
      <c r="AC6" s="30" t="s">
        <v>37</v>
      </c>
      <c r="AD6" s="45" t="s">
        <v>38</v>
      </c>
      <c r="AE6" s="46" t="s">
        <v>39</v>
      </c>
      <c r="AF6" s="47" t="s">
        <v>22</v>
      </c>
      <c r="AG6" s="48" t="s">
        <v>40</v>
      </c>
      <c r="AH6" s="49" t="s">
        <v>41</v>
      </c>
      <c r="AI6" s="50" t="s">
        <v>42</v>
      </c>
      <c r="AJ6" s="50" t="s">
        <v>43</v>
      </c>
      <c r="AK6" s="50" t="s">
        <v>44</v>
      </c>
      <c r="AL6" s="439" t="s">
        <v>15</v>
      </c>
      <c r="AM6" s="440"/>
      <c r="AN6" s="439" t="s">
        <v>16</v>
      </c>
      <c r="AO6" s="440"/>
      <c r="AP6" s="52"/>
      <c r="AQ6" s="53" t="s">
        <v>45</v>
      </c>
      <c r="AR6" s="443"/>
      <c r="AS6" s="443"/>
      <c r="AT6" s="443"/>
      <c r="AU6" s="443"/>
      <c r="AV6" s="443"/>
      <c r="AW6" s="54"/>
    </row>
    <row r="7" spans="1:50" s="55" customFormat="1" x14ac:dyDescent="0.3">
      <c r="B7" s="14"/>
      <c r="C7" s="387" t="s">
        <v>46</v>
      </c>
      <c r="D7" s="388">
        <v>10</v>
      </c>
      <c r="E7" s="385">
        <v>100</v>
      </c>
      <c r="F7" s="389" t="s">
        <v>46</v>
      </c>
      <c r="G7" s="388">
        <v>100</v>
      </c>
      <c r="H7" s="390">
        <v>50</v>
      </c>
      <c r="I7" s="391" t="s">
        <v>46</v>
      </c>
      <c r="J7" s="438" t="s">
        <v>55</v>
      </c>
      <c r="K7" s="423" t="s">
        <v>47</v>
      </c>
      <c r="L7" s="424">
        <v>4</v>
      </c>
      <c r="M7" s="425">
        <v>250</v>
      </c>
      <c r="N7" s="424">
        <v>20</v>
      </c>
      <c r="O7" s="425">
        <v>175</v>
      </c>
      <c r="P7" s="426">
        <v>27</v>
      </c>
      <c r="Q7" s="392">
        <f>IF(P7=0,0,MIN(P7+L7-1,N7))</f>
        <v>20</v>
      </c>
      <c r="R7" s="392">
        <f>IF(Q7=0,0,Q7-L7+1)</f>
        <v>17</v>
      </c>
      <c r="S7" s="393">
        <f t="shared" ref="S7:S39" si="0">IF(R7=0,0,M7/P7)</f>
        <v>9.2592592592592595</v>
      </c>
      <c r="T7" s="394">
        <f t="shared" ref="T7:T39" si="1" xml:space="preserve">   IF(        AND(P7=0,N7=0),61,    IF(         P7=0, N7, MIN(P7+L7-1,N7)))</f>
        <v>20</v>
      </c>
      <c r="U7" s="394">
        <f>M7-(R7*S7)</f>
        <v>92.592592592592581</v>
      </c>
      <c r="V7" s="394">
        <f>O7-(M7-R7* S7)</f>
        <v>82.407407407407419</v>
      </c>
      <c r="W7" s="438" t="s">
        <v>48</v>
      </c>
      <c r="X7" s="427">
        <v>150</v>
      </c>
      <c r="Y7" s="428">
        <v>0.02</v>
      </c>
      <c r="Z7" s="437" t="s">
        <v>49</v>
      </c>
      <c r="AA7" s="429">
        <v>1</v>
      </c>
      <c r="AB7" s="427">
        <v>1</v>
      </c>
      <c r="AC7" s="430">
        <v>120</v>
      </c>
      <c r="AD7" s="431">
        <v>0.2</v>
      </c>
      <c r="AE7" s="395">
        <f t="shared" ref="AE7:AE39" si="2">AB7*AC7/12*(1+AD7)*(1+CompLoad)</f>
        <v>15.36</v>
      </c>
      <c r="AF7" s="387">
        <v>1</v>
      </c>
      <c r="AG7" s="396">
        <v>0.02</v>
      </c>
      <c r="AH7" s="397">
        <v>0.16</v>
      </c>
      <c r="AI7" s="56">
        <f>SUM(AG7:AH7)</f>
        <v>0.18</v>
      </c>
      <c r="AJ7" s="57">
        <v>1</v>
      </c>
      <c r="AK7" s="58">
        <f t="shared" ref="AK7:AK67" si="3">VLOOKUP(AJ7,$AF$7:$AI$67,4)/12</f>
        <v>1.4999999999999999E-2</v>
      </c>
      <c r="AL7" s="51" t="s">
        <v>265</v>
      </c>
      <c r="AM7" s="433">
        <v>25</v>
      </c>
      <c r="AN7" s="51" t="s">
        <v>278</v>
      </c>
      <c r="AO7" s="435">
        <v>0.06</v>
      </c>
      <c r="AP7" s="52"/>
      <c r="AQ7" s="59" t="s">
        <v>50</v>
      </c>
      <c r="AR7" s="60">
        <f>Loans!E5</f>
        <v>1233.5562372899906</v>
      </c>
      <c r="AS7" s="61">
        <f>Loans!F5</f>
        <v>1309.6392868178407</v>
      </c>
      <c r="AT7" s="61">
        <f>Loans!G5</f>
        <v>1390.4149723605469</v>
      </c>
      <c r="AU7" s="61">
        <f>Loans!H5</f>
        <v>1476.1727254393822</v>
      </c>
      <c r="AV7" s="62">
        <f>Loans!I5</f>
        <v>1567.2198290785361</v>
      </c>
      <c r="AW7" s="63"/>
    </row>
    <row r="8" spans="1:50" s="55" customFormat="1" x14ac:dyDescent="0.3">
      <c r="B8" s="14"/>
      <c r="C8" s="420">
        <v>6</v>
      </c>
      <c r="D8" s="421">
        <v>25</v>
      </c>
      <c r="E8" s="380"/>
      <c r="F8" s="381">
        <v>6</v>
      </c>
      <c r="G8" s="399">
        <v>10</v>
      </c>
      <c r="H8" s="342"/>
      <c r="I8" s="422">
        <v>50</v>
      </c>
      <c r="J8" s="377" t="s">
        <v>238</v>
      </c>
      <c r="K8" s="378" t="s">
        <v>51</v>
      </c>
      <c r="L8" s="379">
        <v>1</v>
      </c>
      <c r="M8" s="380">
        <v>40</v>
      </c>
      <c r="N8" s="379">
        <v>55</v>
      </c>
      <c r="O8" s="380">
        <v>15</v>
      </c>
      <c r="P8" s="381">
        <v>10</v>
      </c>
      <c r="Q8" s="392">
        <f t="shared" ref="Q8:Q28" si="4">IF(P8=0,0,MIN(P8+L8-1,N8))</f>
        <v>10</v>
      </c>
      <c r="R8" s="392">
        <f t="shared" ref="R8:R9" si="5">IF(Q8=0,0,Q8-L8+1)</f>
        <v>10</v>
      </c>
      <c r="S8" s="393">
        <f t="shared" si="0"/>
        <v>4</v>
      </c>
      <c r="T8" s="394">
        <f t="shared" si="1"/>
        <v>10</v>
      </c>
      <c r="U8" s="394">
        <f t="shared" ref="U8:U67" si="6">M8-(R8*S8)</f>
        <v>0</v>
      </c>
      <c r="V8" s="394">
        <f t="shared" ref="V8:V39" si="7">O8-(M8-R8* S8)</f>
        <v>15</v>
      </c>
      <c r="W8" s="400" t="s">
        <v>52</v>
      </c>
      <c r="X8" s="401">
        <v>350</v>
      </c>
      <c r="Y8" s="402">
        <v>1.4999999999999999E-2</v>
      </c>
      <c r="Z8" s="377" t="s">
        <v>53</v>
      </c>
      <c r="AA8" s="379">
        <v>1</v>
      </c>
      <c r="AB8" s="401">
        <v>1</v>
      </c>
      <c r="AC8" s="380">
        <v>110</v>
      </c>
      <c r="AD8" s="403">
        <v>0.2</v>
      </c>
      <c r="AE8" s="395">
        <f t="shared" si="2"/>
        <v>14.079999999999998</v>
      </c>
      <c r="AF8" s="420">
        <v>2</v>
      </c>
      <c r="AG8" s="432">
        <v>0.03</v>
      </c>
      <c r="AH8" s="408">
        <v>0.16500000000000001</v>
      </c>
      <c r="AI8" s="56">
        <f t="shared" ref="AI8:AI67" si="8">SUM(AG8:AH8)</f>
        <v>0.19500000000000001</v>
      </c>
      <c r="AJ8" s="57">
        <v>2</v>
      </c>
      <c r="AK8" s="58">
        <f>VLOOKUP(AJ8,$AF$7:$AI$67,4)/12</f>
        <v>1.6250000000000001E-2</v>
      </c>
      <c r="AL8" s="51" t="s">
        <v>266</v>
      </c>
      <c r="AM8" s="434">
        <v>18</v>
      </c>
      <c r="AN8" s="51" t="s">
        <v>279</v>
      </c>
      <c r="AO8" s="414">
        <v>7.0000000000000007E-2</v>
      </c>
      <c r="AP8" s="52"/>
      <c r="AQ8" s="59" t="s">
        <v>54</v>
      </c>
      <c r="AR8" s="64">
        <f ca="1">Loans!E6</f>
        <v>366.18388074765562</v>
      </c>
      <c r="AS8" s="270">
        <f ca="1">Loans!F6</f>
        <v>514.52912770987621</v>
      </c>
      <c r="AT8" s="270">
        <f ca="1">Loans!G6</f>
        <v>546.26415844757025</v>
      </c>
      <c r="AU8" s="270">
        <f ca="1">Loans!H6</f>
        <v>579.95653644061804</v>
      </c>
      <c r="AV8" s="65">
        <f ca="1">Loans!I6</f>
        <v>615.72698658478839</v>
      </c>
      <c r="AW8" s="63"/>
    </row>
    <row r="9" spans="1:50" s="55" customFormat="1" x14ac:dyDescent="0.3">
      <c r="B9" s="66"/>
      <c r="C9" s="404">
        <v>9</v>
      </c>
      <c r="D9" s="399">
        <v>25</v>
      </c>
      <c r="E9" s="380"/>
      <c r="F9" s="381">
        <v>18</v>
      </c>
      <c r="G9" s="405"/>
      <c r="H9" s="406"/>
      <c r="I9" s="406">
        <v>100</v>
      </c>
      <c r="J9" s="377" t="s">
        <v>239</v>
      </c>
      <c r="K9" s="378" t="s">
        <v>56</v>
      </c>
      <c r="L9" s="379">
        <v>8</v>
      </c>
      <c r="M9" s="380">
        <v>50</v>
      </c>
      <c r="N9" s="379">
        <v>33</v>
      </c>
      <c r="O9" s="380"/>
      <c r="P9" s="381">
        <v>3</v>
      </c>
      <c r="Q9" s="392">
        <f>IF(P9=0,0,MIN(P9+L9-1,N9))</f>
        <v>10</v>
      </c>
      <c r="R9" s="392">
        <f t="shared" si="5"/>
        <v>3</v>
      </c>
      <c r="S9" s="393">
        <f t="shared" si="0"/>
        <v>16.666666666666668</v>
      </c>
      <c r="T9" s="394">
        <f t="shared" si="1"/>
        <v>10</v>
      </c>
      <c r="U9" s="394">
        <f t="shared" si="6"/>
        <v>0</v>
      </c>
      <c r="V9" s="394">
        <f t="shared" si="7"/>
        <v>0</v>
      </c>
      <c r="W9" s="400" t="s">
        <v>57</v>
      </c>
      <c r="X9" s="401">
        <v>100</v>
      </c>
      <c r="Y9" s="402">
        <v>0.02</v>
      </c>
      <c r="Z9" s="377" t="s">
        <v>58</v>
      </c>
      <c r="AA9" s="379">
        <v>1</v>
      </c>
      <c r="AB9" s="401">
        <v>1</v>
      </c>
      <c r="AC9" s="380">
        <v>95</v>
      </c>
      <c r="AD9" s="403">
        <v>0.2</v>
      </c>
      <c r="AE9" s="395">
        <f t="shared" si="2"/>
        <v>12.16</v>
      </c>
      <c r="AF9" s="404">
        <v>10</v>
      </c>
      <c r="AG9" s="407">
        <v>3.5000000000000003E-2</v>
      </c>
      <c r="AH9" s="408">
        <v>0.15</v>
      </c>
      <c r="AI9" s="56">
        <f t="shared" si="8"/>
        <v>0.185</v>
      </c>
      <c r="AJ9" s="57">
        <v>3</v>
      </c>
      <c r="AK9" s="58">
        <f t="shared" si="3"/>
        <v>1.6250000000000001E-2</v>
      </c>
      <c r="AL9" s="51" t="s">
        <v>267</v>
      </c>
      <c r="AM9" s="415">
        <v>100</v>
      </c>
      <c r="AN9" s="51" t="s">
        <v>280</v>
      </c>
      <c r="AO9" s="414">
        <v>0.12</v>
      </c>
      <c r="AP9" s="52"/>
      <c r="AQ9" s="59" t="s">
        <v>201</v>
      </c>
      <c r="AR9" s="68">
        <f ca="1">Loans!E25</f>
        <v>14458.589577175884</v>
      </c>
      <c r="AS9" s="69">
        <f ca="1">Loans!F25</f>
        <v>16365.491898898585</v>
      </c>
      <c r="AT9" s="69">
        <f ca="1">Loans!G25</f>
        <v>16130.83202024843</v>
      </c>
      <c r="AU9" s="69">
        <f ca="1">Loans!H25</f>
        <v>16369.231898692666</v>
      </c>
      <c r="AV9" s="70">
        <f ca="1">Loans!I25</f>
        <v>16355.537093485778</v>
      </c>
      <c r="AW9" s="63"/>
    </row>
    <row r="10" spans="1:50" s="55" customFormat="1" x14ac:dyDescent="0.3">
      <c r="B10" s="14"/>
      <c r="C10" s="404"/>
      <c r="D10" s="399"/>
      <c r="E10" s="380"/>
      <c r="F10" s="381"/>
      <c r="G10" s="405"/>
      <c r="H10" s="406"/>
      <c r="I10" s="406"/>
      <c r="J10" s="382" t="s">
        <v>59</v>
      </c>
      <c r="K10" s="383" t="s">
        <v>60</v>
      </c>
      <c r="L10" s="384">
        <v>6</v>
      </c>
      <c r="M10" s="385">
        <v>100</v>
      </c>
      <c r="N10" s="384">
        <v>12</v>
      </c>
      <c r="O10" s="385">
        <v>18</v>
      </c>
      <c r="P10" s="386">
        <v>14</v>
      </c>
      <c r="Q10" s="392">
        <f t="shared" si="4"/>
        <v>12</v>
      </c>
      <c r="R10" s="392">
        <f t="shared" ref="R10:R42" si="9">IF(Q10=0,0,Q10-L10+1)</f>
        <v>7</v>
      </c>
      <c r="S10" s="393">
        <f t="shared" si="0"/>
        <v>7.1428571428571432</v>
      </c>
      <c r="T10" s="394">
        <f t="shared" si="1"/>
        <v>12</v>
      </c>
      <c r="U10" s="394">
        <f t="shared" si="6"/>
        <v>50</v>
      </c>
      <c r="V10" s="394">
        <f t="shared" si="7"/>
        <v>-32</v>
      </c>
      <c r="W10" s="400"/>
      <c r="X10" s="401"/>
      <c r="Y10" s="402"/>
      <c r="Z10" s="400" t="s">
        <v>61</v>
      </c>
      <c r="AA10" s="379">
        <v>1</v>
      </c>
      <c r="AB10" s="401">
        <v>1</v>
      </c>
      <c r="AC10" s="409">
        <v>75</v>
      </c>
      <c r="AD10" s="403">
        <v>0.15</v>
      </c>
      <c r="AE10" s="395">
        <f t="shared" si="2"/>
        <v>9.1999999999999993</v>
      </c>
      <c r="AF10" s="398">
        <v>16</v>
      </c>
      <c r="AG10" s="407">
        <v>0.03</v>
      </c>
      <c r="AH10" s="408">
        <v>0.155</v>
      </c>
      <c r="AI10" s="56">
        <f t="shared" si="8"/>
        <v>0.185</v>
      </c>
      <c r="AJ10" s="57">
        <v>4</v>
      </c>
      <c r="AK10" s="58">
        <f t="shared" si="3"/>
        <v>1.6250000000000001E-2</v>
      </c>
      <c r="AL10" s="67" t="s">
        <v>268</v>
      </c>
      <c r="AM10" s="417">
        <v>5.0000000000000001E-3</v>
      </c>
      <c r="AN10" s="51" t="s">
        <v>281</v>
      </c>
      <c r="AO10" s="414">
        <v>0.15</v>
      </c>
      <c r="AP10" s="52"/>
      <c r="AQ10" s="53" t="s">
        <v>64</v>
      </c>
      <c r="AR10" s="301"/>
      <c r="AS10" s="301"/>
      <c r="AT10" s="301"/>
      <c r="AU10" s="301"/>
      <c r="AV10" s="301"/>
      <c r="AW10" s="63"/>
      <c r="AX10" s="72"/>
    </row>
    <row r="11" spans="1:50" x14ac:dyDescent="0.3">
      <c r="B11" s="14"/>
      <c r="C11" s="404"/>
      <c r="D11" s="399"/>
      <c r="E11" s="380"/>
      <c r="F11" s="381"/>
      <c r="G11" s="405"/>
      <c r="H11" s="406"/>
      <c r="I11" s="406"/>
      <c r="J11" s="377" t="s">
        <v>65</v>
      </c>
      <c r="K11" s="378" t="s">
        <v>65</v>
      </c>
      <c r="L11" s="379"/>
      <c r="M11" s="380"/>
      <c r="N11" s="379"/>
      <c r="O11" s="380"/>
      <c r="P11" s="381"/>
      <c r="Q11" s="392">
        <f>IF(P11=0,0,MIN(P11+L11-1,N11))</f>
        <v>0</v>
      </c>
      <c r="R11" s="392">
        <f>IF(Q11=0,0,Q11-L11+1)</f>
        <v>0</v>
      </c>
      <c r="S11" s="393">
        <f>IF(R11=0,0,M11/P11)</f>
        <v>0</v>
      </c>
      <c r="T11" s="394">
        <f xml:space="preserve">   IF(        AND(P11=0,N11=0),61,    IF(         P11=0, N11, MIN(P11+L11-1,N11)))</f>
        <v>61</v>
      </c>
      <c r="U11" s="394">
        <f>M11-(R11*S11)</f>
        <v>0</v>
      </c>
      <c r="V11" s="394">
        <f>O11-(M11-R11* S11)</f>
        <v>0</v>
      </c>
      <c r="W11" s="400"/>
      <c r="X11" s="401"/>
      <c r="Y11" s="402"/>
      <c r="Z11" s="400" t="s">
        <v>63</v>
      </c>
      <c r="AA11" s="379">
        <v>15</v>
      </c>
      <c r="AB11" s="401">
        <v>2</v>
      </c>
      <c r="AC11" s="409">
        <v>65</v>
      </c>
      <c r="AD11" s="403">
        <v>0.15</v>
      </c>
      <c r="AE11" s="410">
        <f t="shared" si="2"/>
        <v>15.946666666666667</v>
      </c>
      <c r="AF11" s="404"/>
      <c r="AG11" s="407"/>
      <c r="AH11" s="408"/>
      <c r="AI11" s="56">
        <f t="shared" si="8"/>
        <v>0</v>
      </c>
      <c r="AJ11" s="57">
        <v>5</v>
      </c>
      <c r="AK11" s="58">
        <f t="shared" si="3"/>
        <v>1.6250000000000001E-2</v>
      </c>
      <c r="AL11" s="439" t="s">
        <v>62</v>
      </c>
      <c r="AM11" s="440"/>
      <c r="AN11" s="51" t="s">
        <v>64</v>
      </c>
      <c r="AO11" s="414">
        <v>6.5000000000000002E-2</v>
      </c>
      <c r="AP11" s="52"/>
      <c r="AQ11" s="59" t="s">
        <v>67</v>
      </c>
      <c r="AR11" s="60">
        <f ca="1">Credit!E44</f>
        <v>15070.944281642462</v>
      </c>
      <c r="AS11" s="61">
        <f ca="1">Credit!F44</f>
        <v>1434.8173574857656</v>
      </c>
      <c r="AT11" s="61">
        <f ca="1">Credit!G44</f>
        <v>-608.53818134056814</v>
      </c>
      <c r="AU11" s="61">
        <f ca="1">Credit!H44</f>
        <v>-413.18099989557766</v>
      </c>
      <c r="AV11" s="62">
        <f ca="1">Credit!I44</f>
        <v>-867.63462605790255</v>
      </c>
      <c r="AW11" s="63"/>
      <c r="AX11" s="55"/>
    </row>
    <row r="12" spans="1:50" s="55" customFormat="1" x14ac:dyDescent="0.3">
      <c r="B12" s="14"/>
      <c r="C12" s="404"/>
      <c r="D12" s="399"/>
      <c r="E12" s="380"/>
      <c r="F12" s="381"/>
      <c r="G12" s="405"/>
      <c r="H12" s="406"/>
      <c r="I12" s="406"/>
      <c r="J12" s="377" t="s">
        <v>68</v>
      </c>
      <c r="K12" s="380"/>
      <c r="L12" s="379">
        <v>18</v>
      </c>
      <c r="M12" s="380">
        <v>10</v>
      </c>
      <c r="N12" s="379">
        <v>40</v>
      </c>
      <c r="O12" s="380">
        <v>5</v>
      </c>
      <c r="P12" s="381">
        <v>3</v>
      </c>
      <c r="Q12" s="392">
        <f t="shared" si="4"/>
        <v>20</v>
      </c>
      <c r="R12" s="392">
        <f t="shared" si="9"/>
        <v>3</v>
      </c>
      <c r="S12" s="393">
        <f t="shared" si="0"/>
        <v>3.3333333333333335</v>
      </c>
      <c r="T12" s="394">
        <f t="shared" si="1"/>
        <v>20</v>
      </c>
      <c r="U12" s="394">
        <f t="shared" si="6"/>
        <v>0</v>
      </c>
      <c r="V12" s="394">
        <f t="shared" si="7"/>
        <v>5</v>
      </c>
      <c r="W12" s="400"/>
      <c r="X12" s="401"/>
      <c r="Y12" s="402"/>
      <c r="Z12" s="400" t="s">
        <v>66</v>
      </c>
      <c r="AA12" s="379">
        <v>2</v>
      </c>
      <c r="AB12" s="401">
        <v>1</v>
      </c>
      <c r="AC12" s="409">
        <v>75</v>
      </c>
      <c r="AD12" s="403">
        <v>0.15</v>
      </c>
      <c r="AE12" s="395">
        <f t="shared" si="2"/>
        <v>9.1999999999999993</v>
      </c>
      <c r="AF12" s="398"/>
      <c r="AG12" s="407"/>
      <c r="AH12" s="408"/>
      <c r="AI12" s="56">
        <f t="shared" si="8"/>
        <v>0</v>
      </c>
      <c r="AJ12" s="57">
        <v>6</v>
      </c>
      <c r="AK12" s="58">
        <f t="shared" si="3"/>
        <v>1.6250000000000001E-2</v>
      </c>
      <c r="AL12" s="51" t="s">
        <v>269</v>
      </c>
      <c r="AM12" s="433">
        <v>150</v>
      </c>
      <c r="AN12" s="51" t="s">
        <v>282</v>
      </c>
      <c r="AO12" s="417">
        <v>0.02</v>
      </c>
      <c r="AP12" s="52"/>
      <c r="AQ12" s="59" t="s">
        <v>70</v>
      </c>
      <c r="AR12" s="68">
        <f ca="1">Credit!E46</f>
        <v>15070.944281642462</v>
      </c>
      <c r="AS12" s="69">
        <f ca="1">Credit!F46</f>
        <v>16505.761639128224</v>
      </c>
      <c r="AT12" s="69">
        <f ca="1">Credit!G46</f>
        <v>15897.223457787659</v>
      </c>
      <c r="AU12" s="69">
        <f ca="1">Credit!H46</f>
        <v>15484.042457892081</v>
      </c>
      <c r="AV12" s="70">
        <f ca="1">Credit!I46</f>
        <v>14616.407831834178</v>
      </c>
      <c r="AW12" s="63"/>
    </row>
    <row r="13" spans="1:50" s="55" customFormat="1" x14ac:dyDescent="0.3">
      <c r="B13" s="14"/>
      <c r="C13" s="404"/>
      <c r="D13" s="399"/>
      <c r="E13" s="380"/>
      <c r="F13" s="381"/>
      <c r="G13" s="405"/>
      <c r="H13" s="406"/>
      <c r="I13" s="406"/>
      <c r="J13" s="377"/>
      <c r="K13" s="378"/>
      <c r="L13" s="379"/>
      <c r="M13" s="380"/>
      <c r="N13" s="379"/>
      <c r="O13" s="380"/>
      <c r="P13" s="381"/>
      <c r="Q13" s="392">
        <f>IF(P13=0,0,MIN(P13+L13-1,N13))</f>
        <v>0</v>
      </c>
      <c r="R13" s="392">
        <f>IF(Q13=0,0,Q13-L13+1)</f>
        <v>0</v>
      </c>
      <c r="S13" s="393">
        <f>IF(R13=0,0,M13/P13)</f>
        <v>0</v>
      </c>
      <c r="T13" s="394">
        <f xml:space="preserve">   IF(        AND(P13=0,N13=0),61,    IF(         P13=0, N13, MIN(P13+L13-1,N13)))</f>
        <v>61</v>
      </c>
      <c r="U13" s="394">
        <f>M13-(R13*S13)</f>
        <v>0</v>
      </c>
      <c r="V13" s="394">
        <f>O13-(M13-R13* S13)</f>
        <v>0</v>
      </c>
      <c r="W13" s="400"/>
      <c r="X13" s="401"/>
      <c r="Y13" s="402"/>
      <c r="Z13" s="400" t="s">
        <v>69</v>
      </c>
      <c r="AA13" s="379">
        <v>13</v>
      </c>
      <c r="AB13" s="401">
        <v>1</v>
      </c>
      <c r="AC13" s="409">
        <v>60</v>
      </c>
      <c r="AD13" s="403">
        <v>0.15</v>
      </c>
      <c r="AE13" s="395">
        <f t="shared" si="2"/>
        <v>7.36</v>
      </c>
      <c r="AF13" s="404"/>
      <c r="AG13" s="407"/>
      <c r="AH13" s="408"/>
      <c r="AI13" s="56">
        <f t="shared" si="8"/>
        <v>0</v>
      </c>
      <c r="AJ13" s="57">
        <v>7</v>
      </c>
      <c r="AK13" s="58">
        <f t="shared" si="3"/>
        <v>1.6250000000000001E-2</v>
      </c>
      <c r="AL13" s="51" t="s">
        <v>270</v>
      </c>
      <c r="AM13" s="414">
        <v>1.0999999999999999E-2</v>
      </c>
      <c r="AN13" s="439" t="s">
        <v>72</v>
      </c>
      <c r="AO13" s="440"/>
      <c r="AP13" s="52"/>
      <c r="AQ13" s="53" t="s">
        <v>73</v>
      </c>
      <c r="AR13" s="302"/>
      <c r="AS13" s="302"/>
      <c r="AT13" s="302"/>
      <c r="AU13" s="302"/>
      <c r="AV13" s="302"/>
      <c r="AW13" s="63"/>
    </row>
    <row r="14" spans="1:50" s="73" customFormat="1" x14ac:dyDescent="0.3">
      <c r="B14" s="6"/>
      <c r="C14" s="404"/>
      <c r="D14" s="399"/>
      <c r="E14" s="380"/>
      <c r="F14" s="381"/>
      <c r="G14" s="405"/>
      <c r="H14" s="406"/>
      <c r="I14" s="406"/>
      <c r="J14" s="377"/>
      <c r="K14" s="380"/>
      <c r="L14" s="379"/>
      <c r="M14" s="380"/>
      <c r="N14" s="379"/>
      <c r="O14" s="380"/>
      <c r="P14" s="381"/>
      <c r="Q14" s="392">
        <f t="shared" si="4"/>
        <v>0</v>
      </c>
      <c r="R14" s="392">
        <f t="shared" si="9"/>
        <v>0</v>
      </c>
      <c r="S14" s="393">
        <f t="shared" si="0"/>
        <v>0</v>
      </c>
      <c r="T14" s="394">
        <f t="shared" si="1"/>
        <v>61</v>
      </c>
      <c r="U14" s="394">
        <f t="shared" si="6"/>
        <v>0</v>
      </c>
      <c r="V14" s="394">
        <f t="shared" si="7"/>
        <v>0</v>
      </c>
      <c r="W14" s="400"/>
      <c r="X14" s="401"/>
      <c r="Y14" s="402"/>
      <c r="Z14" s="400" t="s">
        <v>71</v>
      </c>
      <c r="AA14" s="379">
        <v>3</v>
      </c>
      <c r="AB14" s="401">
        <v>1</v>
      </c>
      <c r="AC14" s="409">
        <v>65</v>
      </c>
      <c r="AD14" s="403">
        <v>0.15</v>
      </c>
      <c r="AE14" s="411">
        <f t="shared" si="2"/>
        <v>7.9733333333333336</v>
      </c>
      <c r="AF14" s="398"/>
      <c r="AG14" s="407"/>
      <c r="AH14" s="408"/>
      <c r="AI14" s="56">
        <f t="shared" si="8"/>
        <v>0</v>
      </c>
      <c r="AJ14" s="57">
        <v>8</v>
      </c>
      <c r="AK14" s="58">
        <f t="shared" si="3"/>
        <v>1.6250000000000001E-2</v>
      </c>
      <c r="AL14" s="51" t="s">
        <v>271</v>
      </c>
      <c r="AM14" s="417">
        <v>0.02</v>
      </c>
      <c r="AN14" s="51" t="s">
        <v>283</v>
      </c>
      <c r="AO14" s="435">
        <v>0.01</v>
      </c>
      <c r="AP14" s="52"/>
      <c r="AQ14" s="59" t="s">
        <v>76</v>
      </c>
      <c r="AR14" s="60">
        <f>CapEx!E11</f>
        <v>440</v>
      </c>
      <c r="AS14" s="61">
        <f>CapEx!F11</f>
        <v>10</v>
      </c>
      <c r="AT14" s="61">
        <f>CapEx!G11</f>
        <v>0</v>
      </c>
      <c r="AU14" s="61">
        <f>CapEx!H11</f>
        <v>0</v>
      </c>
      <c r="AV14" s="62">
        <f>CapEx!I11</f>
        <v>0</v>
      </c>
      <c r="AW14" s="63"/>
    </row>
    <row r="15" spans="1:50" x14ac:dyDescent="0.3">
      <c r="B15" s="14"/>
      <c r="C15" s="404"/>
      <c r="D15" s="399"/>
      <c r="E15" s="380"/>
      <c r="F15" s="381"/>
      <c r="G15" s="405"/>
      <c r="H15" s="406"/>
      <c r="I15" s="406"/>
      <c r="J15" s="382"/>
      <c r="K15" s="383"/>
      <c r="L15" s="384"/>
      <c r="M15" s="385"/>
      <c r="N15" s="384"/>
      <c r="O15" s="385"/>
      <c r="P15" s="386"/>
      <c r="Q15" s="392">
        <f t="shared" si="4"/>
        <v>0</v>
      </c>
      <c r="R15" s="392">
        <f t="shared" si="9"/>
        <v>0</v>
      </c>
      <c r="S15" s="393">
        <f t="shared" si="0"/>
        <v>0</v>
      </c>
      <c r="T15" s="394">
        <f t="shared" si="1"/>
        <v>61</v>
      </c>
      <c r="U15" s="394">
        <f t="shared" si="6"/>
        <v>0</v>
      </c>
      <c r="V15" s="394">
        <f t="shared" si="7"/>
        <v>0</v>
      </c>
      <c r="W15" s="400"/>
      <c r="X15" s="401"/>
      <c r="Y15" s="402"/>
      <c r="Z15" s="400" t="s">
        <v>74</v>
      </c>
      <c r="AA15" s="379">
        <v>7</v>
      </c>
      <c r="AB15" s="401">
        <v>1</v>
      </c>
      <c r="AC15" s="409">
        <v>60</v>
      </c>
      <c r="AD15" s="403">
        <v>0.15</v>
      </c>
      <c r="AE15" s="410">
        <f t="shared" si="2"/>
        <v>7.36</v>
      </c>
      <c r="AF15" s="404"/>
      <c r="AG15" s="407"/>
      <c r="AH15" s="408"/>
      <c r="AI15" s="56">
        <f t="shared" si="8"/>
        <v>0</v>
      </c>
      <c r="AJ15" s="57">
        <v>9</v>
      </c>
      <c r="AK15" s="58">
        <f t="shared" si="3"/>
        <v>1.6250000000000001E-2</v>
      </c>
      <c r="AL15" s="439" t="s">
        <v>75</v>
      </c>
      <c r="AM15" s="440"/>
      <c r="AN15" s="67" t="s">
        <v>289</v>
      </c>
      <c r="AO15" s="415">
        <v>35</v>
      </c>
      <c r="AP15" s="52"/>
      <c r="AQ15" s="59" t="s">
        <v>78</v>
      </c>
      <c r="AR15" s="68">
        <f>CapEx!E41</f>
        <v>18</v>
      </c>
      <c r="AS15" s="69">
        <f>CapEx!F41</f>
        <v>175</v>
      </c>
      <c r="AT15" s="69">
        <f>CapEx!G41</f>
        <v>0</v>
      </c>
      <c r="AU15" s="69">
        <f>CapEx!H41</f>
        <v>5</v>
      </c>
      <c r="AV15" s="70">
        <f>CapEx!I41</f>
        <v>15</v>
      </c>
      <c r="AW15" s="63"/>
    </row>
    <row r="16" spans="1:50" x14ac:dyDescent="0.3">
      <c r="B16" s="14"/>
      <c r="C16" s="404"/>
      <c r="D16" s="399"/>
      <c r="E16" s="380"/>
      <c r="F16" s="381"/>
      <c r="G16" s="405"/>
      <c r="H16" s="406"/>
      <c r="I16" s="406"/>
      <c r="J16" s="377"/>
      <c r="K16" s="380"/>
      <c r="L16" s="379"/>
      <c r="M16" s="380"/>
      <c r="N16" s="379"/>
      <c r="O16" s="380"/>
      <c r="P16" s="381"/>
      <c r="Q16" s="392">
        <f t="shared" si="4"/>
        <v>0</v>
      </c>
      <c r="R16" s="392">
        <f t="shared" si="9"/>
        <v>0</v>
      </c>
      <c r="S16" s="393">
        <f t="shared" si="0"/>
        <v>0</v>
      </c>
      <c r="T16" s="394">
        <f t="shared" si="1"/>
        <v>61</v>
      </c>
      <c r="U16" s="394">
        <f t="shared" si="6"/>
        <v>0</v>
      </c>
      <c r="V16" s="394">
        <f t="shared" si="7"/>
        <v>0</v>
      </c>
      <c r="W16" s="400"/>
      <c r="X16" s="401"/>
      <c r="Y16" s="402"/>
      <c r="Z16" s="400" t="s">
        <v>77</v>
      </c>
      <c r="AA16" s="379">
        <v>1</v>
      </c>
      <c r="AB16" s="401">
        <v>2</v>
      </c>
      <c r="AC16" s="409">
        <v>80</v>
      </c>
      <c r="AD16" s="403">
        <v>0.15</v>
      </c>
      <c r="AE16" s="410">
        <f t="shared" si="2"/>
        <v>19.626666666666665</v>
      </c>
      <c r="AF16" s="398"/>
      <c r="AG16" s="407"/>
      <c r="AH16" s="408"/>
      <c r="AI16" s="56">
        <f t="shared" si="8"/>
        <v>0</v>
      </c>
      <c r="AJ16" s="57">
        <v>10</v>
      </c>
      <c r="AK16" s="58">
        <f t="shared" si="3"/>
        <v>1.5416666666666667E-2</v>
      </c>
      <c r="AL16" s="51" t="s">
        <v>272</v>
      </c>
      <c r="AM16" s="433">
        <v>125</v>
      </c>
      <c r="AN16" s="304" t="s">
        <v>284</v>
      </c>
      <c r="AO16" s="418">
        <v>0.1</v>
      </c>
      <c r="AP16" s="52"/>
      <c r="AQ16" s="53" t="s">
        <v>80</v>
      </c>
      <c r="AR16" s="301"/>
      <c r="AS16" s="301"/>
      <c r="AT16" s="301"/>
      <c r="AU16" s="301"/>
      <c r="AV16" s="301"/>
      <c r="AW16" s="269"/>
    </row>
    <row r="17" spans="2:50" x14ac:dyDescent="0.3">
      <c r="B17" s="14"/>
      <c r="C17" s="404"/>
      <c r="D17" s="399"/>
      <c r="E17" s="380"/>
      <c r="F17" s="381"/>
      <c r="G17" s="405"/>
      <c r="H17" s="406"/>
      <c r="I17" s="406"/>
      <c r="J17" s="377"/>
      <c r="K17" s="380"/>
      <c r="L17" s="379"/>
      <c r="M17" s="380"/>
      <c r="N17" s="379"/>
      <c r="O17" s="380"/>
      <c r="P17" s="381"/>
      <c r="Q17" s="392">
        <f t="shared" si="4"/>
        <v>0</v>
      </c>
      <c r="R17" s="392">
        <f t="shared" si="9"/>
        <v>0</v>
      </c>
      <c r="S17" s="393">
        <f t="shared" si="0"/>
        <v>0</v>
      </c>
      <c r="T17" s="394">
        <f t="shared" si="1"/>
        <v>61</v>
      </c>
      <c r="U17" s="394">
        <f t="shared" si="6"/>
        <v>0</v>
      </c>
      <c r="V17" s="394">
        <f t="shared" si="7"/>
        <v>0</v>
      </c>
      <c r="W17" s="400"/>
      <c r="X17" s="401"/>
      <c r="Y17" s="402"/>
      <c r="Z17" s="400" t="s">
        <v>79</v>
      </c>
      <c r="AA17" s="379">
        <v>15</v>
      </c>
      <c r="AB17" s="401">
        <v>1</v>
      </c>
      <c r="AC17" s="409">
        <v>70</v>
      </c>
      <c r="AD17" s="403">
        <v>0.15</v>
      </c>
      <c r="AE17" s="410">
        <f t="shared" si="2"/>
        <v>8.586666666666666</v>
      </c>
      <c r="AF17" s="404"/>
      <c r="AG17" s="407"/>
      <c r="AH17" s="408"/>
      <c r="AI17" s="56">
        <f t="shared" si="8"/>
        <v>0</v>
      </c>
      <c r="AJ17" s="57">
        <v>11</v>
      </c>
      <c r="AK17" s="58">
        <f t="shared" si="3"/>
        <v>1.5416666666666667E-2</v>
      </c>
      <c r="AL17" s="51" t="s">
        <v>273</v>
      </c>
      <c r="AM17" s="414">
        <v>0.01</v>
      </c>
      <c r="AN17" s="67" t="s">
        <v>290</v>
      </c>
      <c r="AO17" s="417">
        <v>0.05</v>
      </c>
      <c r="AP17" s="52"/>
      <c r="AQ17" s="59" t="s">
        <v>224</v>
      </c>
      <c r="AR17" s="60">
        <f ca="1">Income!E14</f>
        <v>2571.0346549644273</v>
      </c>
      <c r="AS17" s="61">
        <f ca="1">Income!F14</f>
        <v>3818.8744163782635</v>
      </c>
      <c r="AT17" s="61">
        <f ca="1">Income!G14</f>
        <v>3823.8521377634497</v>
      </c>
      <c r="AU17" s="61">
        <f ca="1">Income!H14</f>
        <v>4385.1613044692331</v>
      </c>
      <c r="AV17" s="62">
        <f ca="1">Income!I14</f>
        <v>4783.2030546357946</v>
      </c>
      <c r="AW17" s="63"/>
    </row>
    <row r="18" spans="2:50" x14ac:dyDescent="0.3">
      <c r="B18" s="14"/>
      <c r="C18" s="404"/>
      <c r="D18" s="399"/>
      <c r="E18" s="380"/>
      <c r="F18" s="381"/>
      <c r="G18" s="405"/>
      <c r="H18" s="406"/>
      <c r="I18" s="406"/>
      <c r="J18" s="377"/>
      <c r="K18" s="380"/>
      <c r="L18" s="379"/>
      <c r="M18" s="380"/>
      <c r="N18" s="379"/>
      <c r="O18" s="380"/>
      <c r="P18" s="381"/>
      <c r="Q18" s="392">
        <f t="shared" si="4"/>
        <v>0</v>
      </c>
      <c r="R18" s="392">
        <f t="shared" si="9"/>
        <v>0</v>
      </c>
      <c r="S18" s="393">
        <f t="shared" si="0"/>
        <v>0</v>
      </c>
      <c r="T18" s="394">
        <f t="shared" si="1"/>
        <v>61</v>
      </c>
      <c r="U18" s="394">
        <f t="shared" si="6"/>
        <v>0</v>
      </c>
      <c r="V18" s="394">
        <f t="shared" si="7"/>
        <v>0</v>
      </c>
      <c r="W18" s="400"/>
      <c r="X18" s="401"/>
      <c r="Y18" s="402"/>
      <c r="Z18" s="400" t="s">
        <v>79</v>
      </c>
      <c r="AA18" s="379">
        <v>18</v>
      </c>
      <c r="AB18" s="401">
        <v>1</v>
      </c>
      <c r="AC18" s="409">
        <v>70</v>
      </c>
      <c r="AD18" s="403">
        <v>0.15</v>
      </c>
      <c r="AE18" s="410">
        <f t="shared" si="2"/>
        <v>8.586666666666666</v>
      </c>
      <c r="AF18" s="398"/>
      <c r="AG18" s="407"/>
      <c r="AH18" s="408"/>
      <c r="AI18" s="56">
        <f t="shared" si="8"/>
        <v>0</v>
      </c>
      <c r="AJ18" s="57">
        <v>12</v>
      </c>
      <c r="AK18" s="58">
        <f t="shared" si="3"/>
        <v>1.5416666666666667E-2</v>
      </c>
      <c r="AL18" s="74" t="s">
        <v>274</v>
      </c>
      <c r="AM18" s="415">
        <v>100</v>
      </c>
      <c r="AN18" s="439" t="s">
        <v>8</v>
      </c>
      <c r="AO18" s="440"/>
      <c r="AP18" s="52"/>
      <c r="AQ18" s="59" t="s">
        <v>82</v>
      </c>
      <c r="AR18" s="64">
        <f ca="1">Income!E20</f>
        <v>1346.9176115114763</v>
      </c>
      <c r="AS18" s="270">
        <f ca="1">Income!F20</f>
        <v>722.44194132914276</v>
      </c>
      <c r="AT18" s="270">
        <f ca="1">Income!G20</f>
        <v>648.09659194230426</v>
      </c>
      <c r="AU18" s="270">
        <f ca="1">Income!H20</f>
        <v>713.72940660708753</v>
      </c>
      <c r="AV18" s="65">
        <f ca="1">Income!I20</f>
        <v>743.70863959088967</v>
      </c>
      <c r="AW18" s="63"/>
    </row>
    <row r="19" spans="2:50" x14ac:dyDescent="0.3">
      <c r="B19" s="14"/>
      <c r="C19" s="348"/>
      <c r="D19" s="341"/>
      <c r="E19" s="335"/>
      <c r="F19" s="336"/>
      <c r="G19" s="349"/>
      <c r="H19" s="350"/>
      <c r="I19" s="350"/>
      <c r="J19" s="333"/>
      <c r="K19" s="335"/>
      <c r="L19" s="334"/>
      <c r="M19" s="335"/>
      <c r="N19" s="334"/>
      <c r="O19" s="335"/>
      <c r="P19" s="336"/>
      <c r="Q19" s="337">
        <f t="shared" si="4"/>
        <v>0</v>
      </c>
      <c r="R19" s="337">
        <f t="shared" si="9"/>
        <v>0</v>
      </c>
      <c r="S19" s="338">
        <f t="shared" si="0"/>
        <v>0</v>
      </c>
      <c r="T19" s="339">
        <f t="shared" si="1"/>
        <v>61</v>
      </c>
      <c r="U19" s="339">
        <f t="shared" si="6"/>
        <v>0</v>
      </c>
      <c r="V19" s="339">
        <f t="shared" si="7"/>
        <v>0</v>
      </c>
      <c r="W19" s="343"/>
      <c r="X19" s="344"/>
      <c r="Y19" s="345"/>
      <c r="Z19" s="333"/>
      <c r="AA19" s="334"/>
      <c r="AB19" s="346"/>
      <c r="AC19" s="335"/>
      <c r="AD19" s="347"/>
      <c r="AE19" s="71">
        <f t="shared" si="2"/>
        <v>0</v>
      </c>
      <c r="AF19" s="348"/>
      <c r="AG19" s="351"/>
      <c r="AH19" s="352"/>
      <c r="AI19" s="56">
        <f t="shared" si="8"/>
        <v>0</v>
      </c>
      <c r="AJ19" s="57">
        <v>13</v>
      </c>
      <c r="AK19" s="58">
        <f t="shared" si="3"/>
        <v>1.5416666666666667E-2</v>
      </c>
      <c r="AL19" s="439" t="s">
        <v>81</v>
      </c>
      <c r="AM19" s="440"/>
      <c r="AN19" s="51" t="s">
        <v>285</v>
      </c>
      <c r="AO19" s="416">
        <v>1.4999999999999999E-2</v>
      </c>
      <c r="AP19" s="52"/>
      <c r="AQ19" s="59" t="s">
        <v>229</v>
      </c>
      <c r="AR19" s="64">
        <f>SUM(Income!E21:E22)</f>
        <v>1681.9911986232328</v>
      </c>
      <c r="AS19" s="270">
        <f>SUM(Income!F21:F22)</f>
        <v>2174.7699656537948</v>
      </c>
      <c r="AT19" s="270">
        <f>SUM(Income!G21:G22)</f>
        <v>2302.0505589297786</v>
      </c>
      <c r="AU19" s="270">
        <f>SUM(Income!H21:H22)</f>
        <v>2338.1425965263206</v>
      </c>
      <c r="AV19" s="65">
        <f>SUM(Income!I21:I22)</f>
        <v>2374.8025293640562</v>
      </c>
      <c r="AW19" s="63"/>
    </row>
    <row r="20" spans="2:50" x14ac:dyDescent="0.3">
      <c r="B20" s="14"/>
      <c r="C20" s="348"/>
      <c r="D20" s="341"/>
      <c r="E20" s="335"/>
      <c r="F20" s="336"/>
      <c r="G20" s="349"/>
      <c r="H20" s="350"/>
      <c r="I20" s="350"/>
      <c r="J20" s="333"/>
      <c r="K20" s="335"/>
      <c r="L20" s="334"/>
      <c r="M20" s="335"/>
      <c r="N20" s="334"/>
      <c r="O20" s="335"/>
      <c r="P20" s="336"/>
      <c r="Q20" s="337">
        <f t="shared" si="4"/>
        <v>0</v>
      </c>
      <c r="R20" s="337">
        <f t="shared" si="9"/>
        <v>0</v>
      </c>
      <c r="S20" s="338">
        <f t="shared" si="0"/>
        <v>0</v>
      </c>
      <c r="T20" s="339">
        <f t="shared" si="1"/>
        <v>61</v>
      </c>
      <c r="U20" s="339">
        <f t="shared" si="6"/>
        <v>0</v>
      </c>
      <c r="V20" s="339">
        <f t="shared" si="7"/>
        <v>0</v>
      </c>
      <c r="W20" s="343"/>
      <c r="X20" s="344"/>
      <c r="Y20" s="345"/>
      <c r="Z20" s="333"/>
      <c r="AA20" s="334"/>
      <c r="AB20" s="346"/>
      <c r="AC20" s="335"/>
      <c r="AD20" s="347"/>
      <c r="AE20" s="71">
        <f t="shared" si="2"/>
        <v>0</v>
      </c>
      <c r="AF20" s="340"/>
      <c r="AG20" s="351"/>
      <c r="AH20" s="352"/>
      <c r="AI20" s="56">
        <f t="shared" si="8"/>
        <v>0</v>
      </c>
      <c r="AJ20" s="57">
        <v>14</v>
      </c>
      <c r="AK20" s="58">
        <f t="shared" si="3"/>
        <v>1.5416666666666667E-2</v>
      </c>
      <c r="AL20" s="51" t="s">
        <v>275</v>
      </c>
      <c r="AM20" s="436">
        <v>0.4</v>
      </c>
      <c r="AN20" s="51" t="s">
        <v>286</v>
      </c>
      <c r="AO20" s="418">
        <v>0.28000000000000003</v>
      </c>
      <c r="AP20" s="52"/>
      <c r="AQ20" s="59" t="s">
        <v>83</v>
      </c>
      <c r="AR20" s="68">
        <f ca="1">Income!E30</f>
        <v>-515.68803779991094</v>
      </c>
      <c r="AS20" s="69">
        <f ca="1">Income!F30</f>
        <v>405.41829757026596</v>
      </c>
      <c r="AT20" s="69">
        <f ca="1">Income!G30</f>
        <v>373.87830269040938</v>
      </c>
      <c r="AU20" s="69">
        <f ca="1">Income!H30</f>
        <v>651.58087833980824</v>
      </c>
      <c r="AV20" s="70">
        <f ca="1">Income!I30</f>
        <v>853.93982085100652</v>
      </c>
      <c r="AW20" s="63"/>
    </row>
    <row r="21" spans="2:50" x14ac:dyDescent="0.3">
      <c r="B21" s="14"/>
      <c r="C21" s="348"/>
      <c r="D21" s="341"/>
      <c r="E21" s="335"/>
      <c r="F21" s="336"/>
      <c r="G21" s="349"/>
      <c r="H21" s="350"/>
      <c r="I21" s="350"/>
      <c r="J21" s="333"/>
      <c r="K21" s="335"/>
      <c r="L21" s="334"/>
      <c r="M21" s="335"/>
      <c r="N21" s="334"/>
      <c r="O21" s="335"/>
      <c r="P21" s="336"/>
      <c r="Q21" s="337">
        <f t="shared" si="4"/>
        <v>0</v>
      </c>
      <c r="R21" s="337">
        <f t="shared" si="9"/>
        <v>0</v>
      </c>
      <c r="S21" s="338">
        <f t="shared" si="0"/>
        <v>0</v>
      </c>
      <c r="T21" s="339">
        <f t="shared" si="1"/>
        <v>61</v>
      </c>
      <c r="U21" s="339">
        <f t="shared" si="6"/>
        <v>0</v>
      </c>
      <c r="V21" s="339">
        <f t="shared" si="7"/>
        <v>0</v>
      </c>
      <c r="W21" s="343"/>
      <c r="X21" s="344"/>
      <c r="Y21" s="345"/>
      <c r="Z21" s="333"/>
      <c r="AA21" s="334"/>
      <c r="AB21" s="346"/>
      <c r="AC21" s="335"/>
      <c r="AD21" s="347"/>
      <c r="AE21" s="71">
        <f t="shared" si="2"/>
        <v>0</v>
      </c>
      <c r="AF21" s="348"/>
      <c r="AG21" s="351"/>
      <c r="AH21" s="352"/>
      <c r="AI21" s="56">
        <f t="shared" si="8"/>
        <v>0</v>
      </c>
      <c r="AJ21" s="57">
        <v>15</v>
      </c>
      <c r="AK21" s="58">
        <f t="shared" si="3"/>
        <v>1.5416666666666667E-2</v>
      </c>
      <c r="AL21" s="51" t="s">
        <v>276</v>
      </c>
      <c r="AM21" s="412">
        <v>3</v>
      </c>
      <c r="AN21" s="51" t="s">
        <v>287</v>
      </c>
      <c r="AO21" s="418">
        <v>0.4</v>
      </c>
      <c r="AQ21" s="53" t="s">
        <v>84</v>
      </c>
      <c r="AR21" s="78"/>
      <c r="AS21" s="78"/>
      <c r="AT21" s="78"/>
      <c r="AU21" s="78"/>
      <c r="AV21" s="78"/>
      <c r="AW21" s="63"/>
    </row>
    <row r="22" spans="2:50" x14ac:dyDescent="0.3">
      <c r="B22" s="14"/>
      <c r="C22" s="348"/>
      <c r="D22" s="341"/>
      <c r="E22" s="335"/>
      <c r="F22" s="336"/>
      <c r="G22" s="349"/>
      <c r="H22" s="350"/>
      <c r="I22" s="350"/>
      <c r="J22" s="333"/>
      <c r="K22" s="335"/>
      <c r="L22" s="334"/>
      <c r="M22" s="335"/>
      <c r="N22" s="334"/>
      <c r="O22" s="335"/>
      <c r="P22" s="336"/>
      <c r="Q22" s="337">
        <f t="shared" si="4"/>
        <v>0</v>
      </c>
      <c r="R22" s="337">
        <f t="shared" si="9"/>
        <v>0</v>
      </c>
      <c r="S22" s="338">
        <f t="shared" si="0"/>
        <v>0</v>
      </c>
      <c r="T22" s="339">
        <f t="shared" si="1"/>
        <v>61</v>
      </c>
      <c r="U22" s="339">
        <f t="shared" si="6"/>
        <v>0</v>
      </c>
      <c r="V22" s="339">
        <f t="shared" si="7"/>
        <v>0</v>
      </c>
      <c r="W22" s="343"/>
      <c r="X22" s="344"/>
      <c r="Y22" s="345"/>
      <c r="Z22" s="343"/>
      <c r="AA22" s="334"/>
      <c r="AB22" s="344"/>
      <c r="AC22" s="353"/>
      <c r="AD22" s="347"/>
      <c r="AE22" s="71">
        <f t="shared" si="2"/>
        <v>0</v>
      </c>
      <c r="AF22" s="340"/>
      <c r="AG22" s="351"/>
      <c r="AH22" s="352"/>
      <c r="AI22" s="56">
        <f t="shared" si="8"/>
        <v>0</v>
      </c>
      <c r="AJ22" s="57">
        <v>16</v>
      </c>
      <c r="AK22" s="58">
        <f t="shared" si="3"/>
        <v>1.5416666666666667E-2</v>
      </c>
      <c r="AL22" s="75" t="s">
        <v>277</v>
      </c>
      <c r="AM22" s="413">
        <v>2.5000000000000001E-2</v>
      </c>
      <c r="AN22" s="75" t="s">
        <v>288</v>
      </c>
      <c r="AO22" s="419">
        <v>200</v>
      </c>
      <c r="AQ22" s="59" t="s">
        <v>85</v>
      </c>
      <c r="AR22" s="60">
        <f ca="1">Balance!E20</f>
        <v>14825.25624384255</v>
      </c>
      <c r="AS22" s="61">
        <f ca="1">Balance!F20</f>
        <v>16565.491898898585</v>
      </c>
      <c r="AT22" s="61">
        <f ca="1">Balance!G20</f>
        <v>16330.83202024843</v>
      </c>
      <c r="AU22" s="61">
        <f ca="1">Balance!H20</f>
        <v>16569.231898692666</v>
      </c>
      <c r="AV22" s="62">
        <f ca="1">Balance!I20</f>
        <v>16555.537093485778</v>
      </c>
      <c r="AW22" s="63"/>
    </row>
    <row r="23" spans="2:50" x14ac:dyDescent="0.3">
      <c r="C23" s="348"/>
      <c r="D23" s="341"/>
      <c r="E23" s="335"/>
      <c r="F23" s="336"/>
      <c r="G23" s="349"/>
      <c r="H23" s="350"/>
      <c r="I23" s="350"/>
      <c r="J23" s="333"/>
      <c r="K23" s="335"/>
      <c r="L23" s="334"/>
      <c r="M23" s="335"/>
      <c r="N23" s="334"/>
      <c r="O23" s="335"/>
      <c r="P23" s="336"/>
      <c r="Q23" s="337">
        <f t="shared" si="4"/>
        <v>0</v>
      </c>
      <c r="R23" s="337">
        <f t="shared" si="9"/>
        <v>0</v>
      </c>
      <c r="S23" s="338">
        <f t="shared" si="0"/>
        <v>0</v>
      </c>
      <c r="T23" s="339">
        <f t="shared" si="1"/>
        <v>61</v>
      </c>
      <c r="U23" s="339">
        <f t="shared" si="6"/>
        <v>0</v>
      </c>
      <c r="V23" s="339">
        <f t="shared" si="7"/>
        <v>0</v>
      </c>
      <c r="W23" s="343"/>
      <c r="X23" s="344"/>
      <c r="Y23" s="345"/>
      <c r="Z23" s="343"/>
      <c r="AA23" s="334"/>
      <c r="AB23" s="344"/>
      <c r="AC23" s="353"/>
      <c r="AD23" s="347"/>
      <c r="AE23" s="71">
        <f t="shared" si="2"/>
        <v>0</v>
      </c>
      <c r="AF23" s="348"/>
      <c r="AG23" s="351"/>
      <c r="AH23" s="352"/>
      <c r="AI23" s="56">
        <f t="shared" si="8"/>
        <v>0</v>
      </c>
      <c r="AJ23" s="57">
        <v>17</v>
      </c>
      <c r="AK23" s="58">
        <f t="shared" si="3"/>
        <v>1.5416666666666667E-2</v>
      </c>
      <c r="AQ23" s="59" t="s">
        <v>86</v>
      </c>
      <c r="AR23" s="64">
        <f ca="1">Balance!E26</f>
        <v>15230.944281642462</v>
      </c>
      <c r="AS23" s="270">
        <f ca="1">Balance!F26</f>
        <v>16665.761639128224</v>
      </c>
      <c r="AT23" s="270">
        <f ca="1">Balance!G26</f>
        <v>16057.223457787659</v>
      </c>
      <c r="AU23" s="270">
        <f ca="1">Balance!H26</f>
        <v>15644.042457892081</v>
      </c>
      <c r="AV23" s="65">
        <f ca="1">Balance!I26</f>
        <v>14776.407831834178</v>
      </c>
      <c r="AW23" s="63"/>
    </row>
    <row r="24" spans="2:50" x14ac:dyDescent="0.3">
      <c r="C24" s="348"/>
      <c r="D24" s="341"/>
      <c r="E24" s="335"/>
      <c r="F24" s="336"/>
      <c r="G24" s="349"/>
      <c r="H24" s="350"/>
      <c r="I24" s="350"/>
      <c r="J24" s="333"/>
      <c r="K24" s="335"/>
      <c r="L24" s="334"/>
      <c r="M24" s="335"/>
      <c r="N24" s="334"/>
      <c r="O24" s="335"/>
      <c r="P24" s="336"/>
      <c r="Q24" s="337">
        <f t="shared" si="4"/>
        <v>0</v>
      </c>
      <c r="R24" s="337">
        <f t="shared" si="9"/>
        <v>0</v>
      </c>
      <c r="S24" s="338">
        <f t="shared" si="0"/>
        <v>0</v>
      </c>
      <c r="T24" s="339">
        <f t="shared" si="1"/>
        <v>61</v>
      </c>
      <c r="U24" s="339">
        <f t="shared" si="6"/>
        <v>0</v>
      </c>
      <c r="V24" s="339">
        <f t="shared" si="7"/>
        <v>0</v>
      </c>
      <c r="W24" s="343"/>
      <c r="X24" s="344"/>
      <c r="Y24" s="345"/>
      <c r="Z24" s="343"/>
      <c r="AA24" s="334"/>
      <c r="AB24" s="344"/>
      <c r="AC24" s="353"/>
      <c r="AD24" s="347"/>
      <c r="AE24" s="71">
        <f t="shared" si="2"/>
        <v>0</v>
      </c>
      <c r="AF24" s="340"/>
      <c r="AG24" s="351"/>
      <c r="AH24" s="352"/>
      <c r="AI24" s="56">
        <f t="shared" si="8"/>
        <v>0</v>
      </c>
      <c r="AJ24" s="57">
        <v>18</v>
      </c>
      <c r="AK24" s="58">
        <f t="shared" si="3"/>
        <v>1.5416666666666667E-2</v>
      </c>
      <c r="AQ24" s="59" t="s">
        <v>87</v>
      </c>
      <c r="AR24" s="68">
        <f ca="1">Balance!E31</f>
        <v>-405.68803779991083</v>
      </c>
      <c r="AS24" s="69">
        <f ca="1">Balance!F31</f>
        <v>-100.26974022964475</v>
      </c>
      <c r="AT24" s="69">
        <f ca="1">Balance!G31</f>
        <v>273.60856246076469</v>
      </c>
      <c r="AU24" s="69">
        <f ca="1">Balance!H31</f>
        <v>925.18944080057304</v>
      </c>
      <c r="AV24" s="70">
        <f ca="1">Balance!I31</f>
        <v>1779.1292616515793</v>
      </c>
      <c r="AW24" s="77"/>
    </row>
    <row r="25" spans="2:50" x14ac:dyDescent="0.3">
      <c r="B25" s="14"/>
      <c r="C25" s="348"/>
      <c r="D25" s="341"/>
      <c r="E25" s="335"/>
      <c r="F25" s="336"/>
      <c r="G25" s="349"/>
      <c r="H25" s="350"/>
      <c r="I25" s="350"/>
      <c r="J25" s="333"/>
      <c r="K25" s="335"/>
      <c r="L25" s="334"/>
      <c r="M25" s="335"/>
      <c r="N25" s="334"/>
      <c r="O25" s="335"/>
      <c r="P25" s="336"/>
      <c r="Q25" s="337">
        <f t="shared" si="4"/>
        <v>0</v>
      </c>
      <c r="R25" s="337">
        <f t="shared" si="9"/>
        <v>0</v>
      </c>
      <c r="S25" s="338">
        <f t="shared" si="0"/>
        <v>0</v>
      </c>
      <c r="T25" s="339">
        <f t="shared" si="1"/>
        <v>61</v>
      </c>
      <c r="U25" s="339">
        <f t="shared" si="6"/>
        <v>0</v>
      </c>
      <c r="V25" s="339">
        <f t="shared" si="7"/>
        <v>0</v>
      </c>
      <c r="W25" s="343"/>
      <c r="X25" s="344"/>
      <c r="Y25" s="345"/>
      <c r="Z25" s="343"/>
      <c r="AA25" s="334"/>
      <c r="AB25" s="344"/>
      <c r="AC25" s="353"/>
      <c r="AD25" s="347"/>
      <c r="AE25" s="71">
        <f t="shared" si="2"/>
        <v>0</v>
      </c>
      <c r="AF25" s="348"/>
      <c r="AG25" s="351"/>
      <c r="AH25" s="352"/>
      <c r="AI25" s="56">
        <f t="shared" si="8"/>
        <v>0</v>
      </c>
      <c r="AJ25" s="57">
        <v>19</v>
      </c>
      <c r="AK25" s="58">
        <f t="shared" si="3"/>
        <v>1.5416666666666667E-2</v>
      </c>
      <c r="AQ25" s="268" t="s">
        <v>223</v>
      </c>
      <c r="AR25" s="303"/>
      <c r="AS25" s="303"/>
      <c r="AT25" s="303"/>
      <c r="AU25" s="303"/>
      <c r="AV25" s="303"/>
      <c r="AW25" s="77"/>
    </row>
    <row r="26" spans="2:50" x14ac:dyDescent="0.3">
      <c r="B26" s="14"/>
      <c r="C26" s="348"/>
      <c r="D26" s="341"/>
      <c r="E26" s="335"/>
      <c r="F26" s="336"/>
      <c r="G26" s="349"/>
      <c r="H26" s="350"/>
      <c r="I26" s="350"/>
      <c r="J26" s="333"/>
      <c r="K26" s="335"/>
      <c r="L26" s="334"/>
      <c r="M26" s="335"/>
      <c r="N26" s="334"/>
      <c r="O26" s="335"/>
      <c r="P26" s="336"/>
      <c r="Q26" s="337">
        <f t="shared" si="4"/>
        <v>0</v>
      </c>
      <c r="R26" s="337">
        <f t="shared" si="9"/>
        <v>0</v>
      </c>
      <c r="S26" s="338">
        <f t="shared" si="0"/>
        <v>0</v>
      </c>
      <c r="T26" s="339">
        <f t="shared" si="1"/>
        <v>61</v>
      </c>
      <c r="U26" s="339">
        <f t="shared" si="6"/>
        <v>0</v>
      </c>
      <c r="V26" s="339">
        <f t="shared" si="7"/>
        <v>0</v>
      </c>
      <c r="W26" s="343"/>
      <c r="X26" s="344"/>
      <c r="Y26" s="345"/>
      <c r="Z26" s="343"/>
      <c r="AA26" s="334"/>
      <c r="AB26" s="344"/>
      <c r="AC26" s="353"/>
      <c r="AD26" s="347"/>
      <c r="AE26" s="71">
        <f t="shared" si="2"/>
        <v>0</v>
      </c>
      <c r="AF26" s="340"/>
      <c r="AG26" s="351"/>
      <c r="AH26" s="352"/>
      <c r="AI26" s="56">
        <f t="shared" si="8"/>
        <v>0</v>
      </c>
      <c r="AJ26" s="57">
        <v>20</v>
      </c>
      <c r="AK26" s="58">
        <f t="shared" si="3"/>
        <v>1.5416666666666667E-2</v>
      </c>
      <c r="AQ26" s="59" t="s">
        <v>225</v>
      </c>
      <c r="AR26" s="60">
        <f ca="1">Balance!E24</f>
        <v>15130.944281642462</v>
      </c>
      <c r="AS26" s="61">
        <f ca="1">Balance!F24</f>
        <v>16565.761639128224</v>
      </c>
      <c r="AT26" s="61">
        <f ca="1">Balance!G24</f>
        <v>15957.223457787659</v>
      </c>
      <c r="AU26" s="61">
        <f ca="1">Balance!H24</f>
        <v>15544.042457892081</v>
      </c>
      <c r="AV26" s="62">
        <f ca="1">Balance!I24</f>
        <v>14676.407831834178</v>
      </c>
      <c r="AW26" s="77"/>
    </row>
    <row r="27" spans="2:50" x14ac:dyDescent="0.3">
      <c r="B27" s="14"/>
      <c r="C27" s="348"/>
      <c r="D27" s="341"/>
      <c r="E27" s="335"/>
      <c r="F27" s="336"/>
      <c r="G27" s="349"/>
      <c r="H27" s="350"/>
      <c r="I27" s="350"/>
      <c r="J27" s="333"/>
      <c r="K27" s="335"/>
      <c r="L27" s="334"/>
      <c r="M27" s="335"/>
      <c r="N27" s="334"/>
      <c r="O27" s="335"/>
      <c r="P27" s="336"/>
      <c r="Q27" s="337">
        <f t="shared" si="4"/>
        <v>0</v>
      </c>
      <c r="R27" s="337">
        <f t="shared" si="9"/>
        <v>0</v>
      </c>
      <c r="S27" s="338">
        <f t="shared" si="0"/>
        <v>0</v>
      </c>
      <c r="T27" s="339">
        <f t="shared" si="1"/>
        <v>61</v>
      </c>
      <c r="U27" s="339">
        <f t="shared" si="6"/>
        <v>0</v>
      </c>
      <c r="V27" s="339">
        <f t="shared" si="7"/>
        <v>0</v>
      </c>
      <c r="W27" s="343"/>
      <c r="X27" s="344"/>
      <c r="Y27" s="345"/>
      <c r="Z27" s="343"/>
      <c r="AA27" s="334"/>
      <c r="AB27" s="344"/>
      <c r="AC27" s="353"/>
      <c r="AD27" s="347"/>
      <c r="AE27" s="71">
        <f t="shared" si="2"/>
        <v>0</v>
      </c>
      <c r="AF27" s="348"/>
      <c r="AG27" s="351"/>
      <c r="AH27" s="352"/>
      <c r="AI27" s="56">
        <f t="shared" si="8"/>
        <v>0</v>
      </c>
      <c r="AJ27" s="57">
        <v>21</v>
      </c>
      <c r="AK27" s="58">
        <f t="shared" si="3"/>
        <v>1.5416666666666667E-2</v>
      </c>
      <c r="AQ27" s="59" t="s">
        <v>226</v>
      </c>
      <c r="AR27" s="64">
        <f ca="1">Balance!E30</f>
        <v>-565.68803779991083</v>
      </c>
      <c r="AS27" s="270">
        <f ca="1">Balance!F30</f>
        <v>-260.26974022964475</v>
      </c>
      <c r="AT27" s="270">
        <f ca="1">Balance!G30</f>
        <v>113.60856246076472</v>
      </c>
      <c r="AU27" s="270">
        <f ca="1">Balance!H30</f>
        <v>765.18944080057304</v>
      </c>
      <c r="AV27" s="65">
        <f ca="1">Balance!I30</f>
        <v>1619.1292616515793</v>
      </c>
      <c r="AW27" s="77"/>
    </row>
    <row r="28" spans="2:50" x14ac:dyDescent="0.3">
      <c r="C28" s="348"/>
      <c r="D28" s="341"/>
      <c r="E28" s="335"/>
      <c r="F28" s="336"/>
      <c r="G28" s="349"/>
      <c r="H28" s="350"/>
      <c r="I28" s="350"/>
      <c r="J28" s="333"/>
      <c r="K28" s="335"/>
      <c r="L28" s="334"/>
      <c r="M28" s="335"/>
      <c r="N28" s="334"/>
      <c r="O28" s="335"/>
      <c r="P28" s="336"/>
      <c r="Q28" s="337">
        <f t="shared" si="4"/>
        <v>0</v>
      </c>
      <c r="R28" s="337">
        <f t="shared" si="9"/>
        <v>0</v>
      </c>
      <c r="S28" s="338">
        <f t="shared" si="0"/>
        <v>0</v>
      </c>
      <c r="T28" s="339">
        <f t="shared" si="1"/>
        <v>61</v>
      </c>
      <c r="U28" s="339">
        <f t="shared" si="6"/>
        <v>0</v>
      </c>
      <c r="V28" s="339">
        <f t="shared" si="7"/>
        <v>0</v>
      </c>
      <c r="W28" s="343"/>
      <c r="X28" s="344"/>
      <c r="Y28" s="345"/>
      <c r="Z28" s="343"/>
      <c r="AA28" s="334"/>
      <c r="AB28" s="344"/>
      <c r="AC28" s="353"/>
      <c r="AD28" s="347"/>
      <c r="AE28" s="71">
        <f t="shared" si="2"/>
        <v>0</v>
      </c>
      <c r="AF28" s="340"/>
      <c r="AG28" s="351"/>
      <c r="AH28" s="352"/>
      <c r="AI28" s="56">
        <f t="shared" si="8"/>
        <v>0</v>
      </c>
      <c r="AJ28" s="57">
        <v>22</v>
      </c>
      <c r="AK28" s="58">
        <f t="shared" si="3"/>
        <v>1.5416666666666667E-2</v>
      </c>
      <c r="AQ28" s="59" t="s">
        <v>227</v>
      </c>
      <c r="AR28" s="64">
        <f>Cash!E20</f>
        <v>10</v>
      </c>
      <c r="AS28" s="270">
        <f>Cash!F20</f>
        <v>-100</v>
      </c>
      <c r="AT28" s="270">
        <f>Cash!G20</f>
        <v>0</v>
      </c>
      <c r="AU28" s="270">
        <f>Cash!H20</f>
        <v>0</v>
      </c>
      <c r="AV28" s="65">
        <f>Cash!I20</f>
        <v>0</v>
      </c>
      <c r="AW28" s="77"/>
    </row>
    <row r="29" spans="2:50" x14ac:dyDescent="0.3">
      <c r="C29" s="348"/>
      <c r="D29" s="341"/>
      <c r="E29" s="335"/>
      <c r="F29" s="336"/>
      <c r="G29" s="349"/>
      <c r="H29" s="350"/>
      <c r="I29" s="350"/>
      <c r="J29" s="333"/>
      <c r="K29" s="335"/>
      <c r="L29" s="334"/>
      <c r="M29" s="335"/>
      <c r="N29" s="334"/>
      <c r="O29" s="335"/>
      <c r="P29" s="336"/>
      <c r="Q29" s="337">
        <f t="shared" ref="Q29:Q67" si="10">IF(P29=0,0,MIN(P29+L29-1,N29))</f>
        <v>0</v>
      </c>
      <c r="R29" s="337">
        <f t="shared" si="9"/>
        <v>0</v>
      </c>
      <c r="S29" s="338">
        <f t="shared" si="0"/>
        <v>0</v>
      </c>
      <c r="T29" s="339">
        <f t="shared" si="1"/>
        <v>61</v>
      </c>
      <c r="U29" s="339">
        <f t="shared" si="6"/>
        <v>0</v>
      </c>
      <c r="V29" s="339">
        <f t="shared" si="7"/>
        <v>0</v>
      </c>
      <c r="W29" s="343"/>
      <c r="X29" s="344"/>
      <c r="Y29" s="345"/>
      <c r="Z29" s="343"/>
      <c r="AA29" s="334"/>
      <c r="AB29" s="344"/>
      <c r="AC29" s="353"/>
      <c r="AD29" s="347"/>
      <c r="AE29" s="71">
        <f t="shared" si="2"/>
        <v>0</v>
      </c>
      <c r="AF29" s="348"/>
      <c r="AG29" s="351"/>
      <c r="AH29" s="352"/>
      <c r="AI29" s="56">
        <f t="shared" si="8"/>
        <v>0</v>
      </c>
      <c r="AJ29" s="57">
        <v>23</v>
      </c>
      <c r="AK29" s="58">
        <f t="shared" si="3"/>
        <v>1.5416666666666667E-2</v>
      </c>
      <c r="AQ29" s="59" t="s">
        <v>228</v>
      </c>
      <c r="AR29" s="64">
        <f ca="1">Cash!E22</f>
        <v>-15130.944281642462</v>
      </c>
      <c r="AS29" s="270">
        <f ca="1">Cash!F22</f>
        <v>-1434.8173574857678</v>
      </c>
      <c r="AT29" s="270">
        <f ca="1">Cash!G22</f>
        <v>608.53818134056382</v>
      </c>
      <c r="AU29" s="270">
        <f ca="1">Cash!H22</f>
        <v>413.18099989557265</v>
      </c>
      <c r="AV29" s="65">
        <f ca="1">Cash!I22</f>
        <v>867.63462605789391</v>
      </c>
      <c r="AW29" s="77"/>
    </row>
    <row r="30" spans="2:50" x14ac:dyDescent="0.3">
      <c r="B30" s="14"/>
      <c r="C30" s="348"/>
      <c r="D30" s="341"/>
      <c r="E30" s="335"/>
      <c r="F30" s="336"/>
      <c r="G30" s="349"/>
      <c r="H30" s="350"/>
      <c r="I30" s="350"/>
      <c r="J30" s="354"/>
      <c r="K30" s="355"/>
      <c r="L30" s="356"/>
      <c r="M30" s="355"/>
      <c r="N30" s="356"/>
      <c r="O30" s="355"/>
      <c r="P30" s="357"/>
      <c r="Q30" s="337">
        <f t="shared" si="10"/>
        <v>0</v>
      </c>
      <c r="R30" s="337">
        <f t="shared" si="9"/>
        <v>0</v>
      </c>
      <c r="S30" s="338">
        <f t="shared" si="0"/>
        <v>0</v>
      </c>
      <c r="T30" s="339">
        <f t="shared" si="1"/>
        <v>61</v>
      </c>
      <c r="U30" s="339">
        <f t="shared" si="6"/>
        <v>0</v>
      </c>
      <c r="V30" s="339">
        <f t="shared" si="7"/>
        <v>0</v>
      </c>
      <c r="W30" s="343"/>
      <c r="X30" s="344"/>
      <c r="Y30" s="345"/>
      <c r="Z30" s="343"/>
      <c r="AA30" s="334"/>
      <c r="AB30" s="344"/>
      <c r="AC30" s="353"/>
      <c r="AD30" s="347"/>
      <c r="AE30" s="71">
        <f t="shared" si="2"/>
        <v>0</v>
      </c>
      <c r="AF30" s="340"/>
      <c r="AG30" s="351"/>
      <c r="AH30" s="352"/>
      <c r="AI30" s="56">
        <f t="shared" si="8"/>
        <v>0</v>
      </c>
      <c r="AJ30" s="57">
        <v>24</v>
      </c>
      <c r="AK30" s="58">
        <f t="shared" si="3"/>
        <v>1.5416666666666667E-2</v>
      </c>
      <c r="AQ30" s="298" t="s">
        <v>230</v>
      </c>
      <c r="AR30" s="68">
        <f ca="1">Cash!E32</f>
        <v>-1878.5230025748706</v>
      </c>
      <c r="AS30" s="69"/>
      <c r="AT30" s="69"/>
      <c r="AU30" s="69"/>
      <c r="AV30" s="70"/>
      <c r="AW30" s="77"/>
    </row>
    <row r="31" spans="2:50" ht="7.8" customHeight="1" x14ac:dyDescent="0.25">
      <c r="B31" s="14"/>
      <c r="C31" s="457"/>
      <c r="D31" s="459"/>
      <c r="E31" s="461"/>
      <c r="F31" s="463"/>
      <c r="G31" s="465"/>
      <c r="H31" s="467"/>
      <c r="I31" s="469"/>
      <c r="J31" s="471"/>
      <c r="K31" s="461"/>
      <c r="L31" s="463"/>
      <c r="M31" s="461"/>
      <c r="N31" s="463"/>
      <c r="O31" s="461"/>
      <c r="P31" s="463"/>
      <c r="Q31" s="473">
        <f t="shared" si="10"/>
        <v>0</v>
      </c>
      <c r="R31" s="474">
        <f t="shared" si="9"/>
        <v>0</v>
      </c>
      <c r="S31" s="475">
        <f t="shared" si="0"/>
        <v>0</v>
      </c>
      <c r="T31" s="476">
        <f t="shared" si="1"/>
        <v>61</v>
      </c>
      <c r="U31" s="476">
        <f t="shared" si="6"/>
        <v>0</v>
      </c>
      <c r="V31" s="477">
        <f t="shared" si="7"/>
        <v>0</v>
      </c>
      <c r="W31" s="478"/>
      <c r="X31" s="480"/>
      <c r="Y31" s="482"/>
      <c r="Z31" s="484"/>
      <c r="AA31" s="463"/>
      <c r="AB31" s="480"/>
      <c r="AC31" s="486"/>
      <c r="AD31" s="488"/>
      <c r="AE31" s="492">
        <f t="shared" si="2"/>
        <v>0</v>
      </c>
      <c r="AF31" s="493"/>
      <c r="AG31" s="495"/>
      <c r="AH31" s="497"/>
      <c r="AI31" s="499">
        <f>SUM(AG31:AH32)</f>
        <v>0</v>
      </c>
      <c r="AJ31" s="490">
        <v>25</v>
      </c>
      <c r="AK31" s="491">
        <f>VLOOKUP(AJ31,$AF$7:$AI$67,4)/12</f>
        <v>1.5416666666666667E-2</v>
      </c>
      <c r="AQ31" s="79"/>
      <c r="AR31" s="80"/>
      <c r="AS31" s="80"/>
      <c r="AT31" s="80"/>
      <c r="AU31" s="80"/>
      <c r="AV31" s="80"/>
      <c r="AW31" s="81"/>
    </row>
    <row r="32" spans="2:50" ht="7.2" customHeight="1" x14ac:dyDescent="0.25">
      <c r="B32" s="14"/>
      <c r="C32" s="458"/>
      <c r="D32" s="460"/>
      <c r="E32" s="462"/>
      <c r="F32" s="464"/>
      <c r="G32" s="466"/>
      <c r="H32" s="468"/>
      <c r="I32" s="470"/>
      <c r="J32" s="472"/>
      <c r="K32" s="462"/>
      <c r="L32" s="464"/>
      <c r="M32" s="462"/>
      <c r="N32" s="464"/>
      <c r="O32" s="462"/>
      <c r="P32" s="464"/>
      <c r="Q32" s="473"/>
      <c r="R32" s="474"/>
      <c r="S32" s="475"/>
      <c r="T32" s="476"/>
      <c r="U32" s="476"/>
      <c r="V32" s="477"/>
      <c r="W32" s="479"/>
      <c r="X32" s="481"/>
      <c r="Y32" s="483"/>
      <c r="Z32" s="485"/>
      <c r="AA32" s="464"/>
      <c r="AB32" s="481"/>
      <c r="AC32" s="487"/>
      <c r="AD32" s="489"/>
      <c r="AE32" s="492"/>
      <c r="AF32" s="494"/>
      <c r="AG32" s="496"/>
      <c r="AH32" s="498"/>
      <c r="AI32" s="499"/>
      <c r="AJ32" s="490"/>
      <c r="AK32" s="491"/>
      <c r="AP32" s="76"/>
      <c r="AQ32" s="76"/>
      <c r="AR32" s="76"/>
      <c r="AS32" s="76"/>
      <c r="AT32" s="76"/>
      <c r="AU32" s="76"/>
      <c r="AV32" s="76"/>
      <c r="AW32" s="76"/>
      <c r="AX32" s="76"/>
    </row>
    <row r="33" spans="2:42" x14ac:dyDescent="0.3">
      <c r="B33" s="66"/>
      <c r="C33" s="348"/>
      <c r="D33" s="341"/>
      <c r="E33" s="335"/>
      <c r="F33" s="336"/>
      <c r="G33" s="349"/>
      <c r="H33" s="350"/>
      <c r="I33" s="350"/>
      <c r="J33" s="354"/>
      <c r="K33" s="355"/>
      <c r="L33" s="356"/>
      <c r="M33" s="355"/>
      <c r="N33" s="356"/>
      <c r="O33" s="355"/>
      <c r="P33" s="357"/>
      <c r="Q33" s="337">
        <f t="shared" si="10"/>
        <v>0</v>
      </c>
      <c r="R33" s="337">
        <f t="shared" si="9"/>
        <v>0</v>
      </c>
      <c r="S33" s="338">
        <f t="shared" si="0"/>
        <v>0</v>
      </c>
      <c r="T33" s="339">
        <f t="shared" si="1"/>
        <v>61</v>
      </c>
      <c r="U33" s="339">
        <f t="shared" si="6"/>
        <v>0</v>
      </c>
      <c r="V33" s="339">
        <f t="shared" si="7"/>
        <v>0</v>
      </c>
      <c r="W33" s="360"/>
      <c r="X33" s="358"/>
      <c r="Y33" s="359"/>
      <c r="Z33" s="343"/>
      <c r="AA33" s="334"/>
      <c r="AB33" s="344"/>
      <c r="AC33" s="353"/>
      <c r="AD33" s="347"/>
      <c r="AE33" s="71">
        <f t="shared" si="2"/>
        <v>0</v>
      </c>
      <c r="AF33" s="348"/>
      <c r="AG33" s="351"/>
      <c r="AH33" s="352"/>
      <c r="AI33" s="56">
        <f t="shared" si="8"/>
        <v>0</v>
      </c>
      <c r="AJ33" s="57">
        <v>26</v>
      </c>
      <c r="AK33" s="58">
        <f>VLOOKUP(AJ33,$AF$7:$AI$67,4)/12</f>
        <v>1.5416666666666667E-2</v>
      </c>
    </row>
    <row r="34" spans="2:42" x14ac:dyDescent="0.3">
      <c r="B34" s="66"/>
      <c r="C34" s="348"/>
      <c r="D34" s="341"/>
      <c r="E34" s="335"/>
      <c r="F34" s="336"/>
      <c r="G34" s="349"/>
      <c r="H34" s="350"/>
      <c r="I34" s="350"/>
      <c r="J34" s="354"/>
      <c r="K34" s="355"/>
      <c r="L34" s="356"/>
      <c r="M34" s="355"/>
      <c r="N34" s="356"/>
      <c r="O34" s="355"/>
      <c r="P34" s="357"/>
      <c r="Q34" s="337">
        <f t="shared" si="10"/>
        <v>0</v>
      </c>
      <c r="R34" s="337">
        <f t="shared" si="9"/>
        <v>0</v>
      </c>
      <c r="S34" s="338">
        <f t="shared" si="0"/>
        <v>0</v>
      </c>
      <c r="T34" s="339">
        <f t="shared" si="1"/>
        <v>61</v>
      </c>
      <c r="U34" s="339">
        <f t="shared" si="6"/>
        <v>0</v>
      </c>
      <c r="V34" s="339">
        <f t="shared" si="7"/>
        <v>0</v>
      </c>
      <c r="W34" s="360"/>
      <c r="X34" s="358"/>
      <c r="Y34" s="359"/>
      <c r="Z34" s="343"/>
      <c r="AA34" s="334"/>
      <c r="AB34" s="344"/>
      <c r="AC34" s="353"/>
      <c r="AD34" s="347"/>
      <c r="AE34" s="71">
        <f t="shared" si="2"/>
        <v>0</v>
      </c>
      <c r="AF34" s="348"/>
      <c r="AG34" s="351"/>
      <c r="AH34" s="352"/>
      <c r="AI34" s="56">
        <f t="shared" si="8"/>
        <v>0</v>
      </c>
      <c r="AJ34" s="57">
        <v>27</v>
      </c>
      <c r="AK34" s="58">
        <f t="shared" si="3"/>
        <v>1.5416666666666667E-2</v>
      </c>
    </row>
    <row r="35" spans="2:42" x14ac:dyDescent="0.3">
      <c r="C35" s="348"/>
      <c r="D35" s="341"/>
      <c r="E35" s="335"/>
      <c r="F35" s="336"/>
      <c r="G35" s="349"/>
      <c r="H35" s="350"/>
      <c r="I35" s="350"/>
      <c r="J35" s="354"/>
      <c r="K35" s="355"/>
      <c r="L35" s="356"/>
      <c r="M35" s="355"/>
      <c r="N35" s="356"/>
      <c r="O35" s="355"/>
      <c r="P35" s="357"/>
      <c r="Q35" s="337">
        <f t="shared" si="10"/>
        <v>0</v>
      </c>
      <c r="R35" s="337">
        <f t="shared" si="9"/>
        <v>0</v>
      </c>
      <c r="S35" s="338">
        <f t="shared" si="0"/>
        <v>0</v>
      </c>
      <c r="T35" s="339">
        <f t="shared" si="1"/>
        <v>61</v>
      </c>
      <c r="U35" s="339">
        <f t="shared" si="6"/>
        <v>0</v>
      </c>
      <c r="V35" s="339">
        <f t="shared" si="7"/>
        <v>0</v>
      </c>
      <c r="W35" s="360"/>
      <c r="X35" s="358"/>
      <c r="Y35" s="359"/>
      <c r="Z35" s="343"/>
      <c r="AA35" s="334"/>
      <c r="AB35" s="344"/>
      <c r="AC35" s="353"/>
      <c r="AD35" s="347"/>
      <c r="AE35" s="71">
        <f t="shared" si="2"/>
        <v>0</v>
      </c>
      <c r="AF35" s="348"/>
      <c r="AG35" s="351"/>
      <c r="AH35" s="352"/>
      <c r="AI35" s="56">
        <f t="shared" si="8"/>
        <v>0</v>
      </c>
      <c r="AJ35" s="57">
        <v>28</v>
      </c>
      <c r="AK35" s="58">
        <f t="shared" si="3"/>
        <v>1.5416666666666667E-2</v>
      </c>
    </row>
    <row r="36" spans="2:42" x14ac:dyDescent="0.3">
      <c r="C36" s="348"/>
      <c r="D36" s="341"/>
      <c r="E36" s="335"/>
      <c r="F36" s="336"/>
      <c r="G36" s="349"/>
      <c r="H36" s="350"/>
      <c r="I36" s="350"/>
      <c r="J36" s="354"/>
      <c r="K36" s="355"/>
      <c r="L36" s="356"/>
      <c r="M36" s="355"/>
      <c r="N36" s="356"/>
      <c r="O36" s="355"/>
      <c r="P36" s="357"/>
      <c r="Q36" s="337">
        <f t="shared" si="10"/>
        <v>0</v>
      </c>
      <c r="R36" s="337">
        <f t="shared" si="9"/>
        <v>0</v>
      </c>
      <c r="S36" s="338">
        <f t="shared" si="0"/>
        <v>0</v>
      </c>
      <c r="T36" s="339">
        <f t="shared" si="1"/>
        <v>61</v>
      </c>
      <c r="U36" s="339">
        <f t="shared" si="6"/>
        <v>0</v>
      </c>
      <c r="V36" s="339">
        <f t="shared" si="7"/>
        <v>0</v>
      </c>
      <c r="W36" s="360"/>
      <c r="X36" s="358"/>
      <c r="Y36" s="359"/>
      <c r="Z36" s="343"/>
      <c r="AA36" s="334"/>
      <c r="AB36" s="344"/>
      <c r="AC36" s="353"/>
      <c r="AD36" s="347"/>
      <c r="AE36" s="71">
        <f t="shared" si="2"/>
        <v>0</v>
      </c>
      <c r="AF36" s="348"/>
      <c r="AG36" s="351"/>
      <c r="AH36" s="352"/>
      <c r="AI36" s="56">
        <f t="shared" si="8"/>
        <v>0</v>
      </c>
      <c r="AJ36" s="57">
        <v>29</v>
      </c>
      <c r="AK36" s="58">
        <f t="shared" si="3"/>
        <v>1.5416666666666667E-2</v>
      </c>
      <c r="AP36" s="82"/>
    </row>
    <row r="37" spans="2:42" x14ac:dyDescent="0.3">
      <c r="C37" s="348"/>
      <c r="D37" s="341"/>
      <c r="E37" s="335"/>
      <c r="F37" s="336"/>
      <c r="G37" s="349"/>
      <c r="H37" s="350"/>
      <c r="I37" s="350"/>
      <c r="J37" s="354"/>
      <c r="K37" s="355"/>
      <c r="L37" s="356"/>
      <c r="M37" s="355"/>
      <c r="N37" s="356"/>
      <c r="O37" s="355"/>
      <c r="P37" s="357"/>
      <c r="Q37" s="337">
        <f t="shared" si="10"/>
        <v>0</v>
      </c>
      <c r="R37" s="337">
        <f t="shared" si="9"/>
        <v>0</v>
      </c>
      <c r="S37" s="338">
        <f t="shared" si="0"/>
        <v>0</v>
      </c>
      <c r="T37" s="339">
        <f t="shared" si="1"/>
        <v>61</v>
      </c>
      <c r="U37" s="339">
        <f t="shared" si="6"/>
        <v>0</v>
      </c>
      <c r="V37" s="339">
        <f t="shared" si="7"/>
        <v>0</v>
      </c>
      <c r="W37" s="360"/>
      <c r="X37" s="358"/>
      <c r="Y37" s="359"/>
      <c r="Z37" s="343"/>
      <c r="AA37" s="356"/>
      <c r="AB37" s="344"/>
      <c r="AC37" s="353"/>
      <c r="AD37" s="361"/>
      <c r="AE37" s="71">
        <f t="shared" si="2"/>
        <v>0</v>
      </c>
      <c r="AF37" s="348"/>
      <c r="AG37" s="351"/>
      <c r="AH37" s="352"/>
      <c r="AI37" s="56">
        <f t="shared" si="8"/>
        <v>0</v>
      </c>
      <c r="AJ37" s="57">
        <v>30</v>
      </c>
      <c r="AK37" s="58">
        <f t="shared" si="3"/>
        <v>1.5416666666666667E-2</v>
      </c>
    </row>
    <row r="38" spans="2:42" x14ac:dyDescent="0.3">
      <c r="C38" s="348"/>
      <c r="D38" s="341"/>
      <c r="E38" s="335"/>
      <c r="F38" s="336"/>
      <c r="G38" s="349"/>
      <c r="H38" s="350"/>
      <c r="I38" s="350"/>
      <c r="J38" s="354"/>
      <c r="K38" s="355"/>
      <c r="L38" s="356"/>
      <c r="M38" s="355"/>
      <c r="N38" s="356"/>
      <c r="O38" s="355"/>
      <c r="P38" s="357"/>
      <c r="Q38" s="337">
        <f t="shared" si="10"/>
        <v>0</v>
      </c>
      <c r="R38" s="337">
        <f t="shared" si="9"/>
        <v>0</v>
      </c>
      <c r="S38" s="338">
        <f t="shared" si="0"/>
        <v>0</v>
      </c>
      <c r="T38" s="339">
        <f t="shared" si="1"/>
        <v>61</v>
      </c>
      <c r="U38" s="339">
        <f t="shared" si="6"/>
        <v>0</v>
      </c>
      <c r="V38" s="339">
        <f t="shared" si="7"/>
        <v>0</v>
      </c>
      <c r="W38" s="360"/>
      <c r="X38" s="358"/>
      <c r="Y38" s="359"/>
      <c r="Z38" s="343"/>
      <c r="AA38" s="356"/>
      <c r="AB38" s="344"/>
      <c r="AC38" s="353"/>
      <c r="AD38" s="361"/>
      <c r="AE38" s="71">
        <f t="shared" si="2"/>
        <v>0</v>
      </c>
      <c r="AF38" s="348"/>
      <c r="AG38" s="351"/>
      <c r="AH38" s="352"/>
      <c r="AI38" s="56">
        <f t="shared" si="8"/>
        <v>0</v>
      </c>
      <c r="AJ38" s="57">
        <v>31</v>
      </c>
      <c r="AK38" s="58">
        <f t="shared" si="3"/>
        <v>1.5416666666666667E-2</v>
      </c>
      <c r="AP38" s="82"/>
    </row>
    <row r="39" spans="2:42" x14ac:dyDescent="0.3">
      <c r="C39" s="348"/>
      <c r="D39" s="341"/>
      <c r="E39" s="335"/>
      <c r="F39" s="336"/>
      <c r="G39" s="349"/>
      <c r="H39" s="350"/>
      <c r="I39" s="350"/>
      <c r="J39" s="354"/>
      <c r="K39" s="355"/>
      <c r="L39" s="356"/>
      <c r="M39" s="355"/>
      <c r="N39" s="356"/>
      <c r="O39" s="355"/>
      <c r="P39" s="357"/>
      <c r="Q39" s="337">
        <f t="shared" si="10"/>
        <v>0</v>
      </c>
      <c r="R39" s="337">
        <f t="shared" si="9"/>
        <v>0</v>
      </c>
      <c r="S39" s="338">
        <f t="shared" si="0"/>
        <v>0</v>
      </c>
      <c r="T39" s="339">
        <f t="shared" si="1"/>
        <v>61</v>
      </c>
      <c r="U39" s="339">
        <f t="shared" si="6"/>
        <v>0</v>
      </c>
      <c r="V39" s="339">
        <f t="shared" si="7"/>
        <v>0</v>
      </c>
      <c r="W39" s="360"/>
      <c r="X39" s="358"/>
      <c r="Y39" s="359"/>
      <c r="Z39" s="343"/>
      <c r="AA39" s="356"/>
      <c r="AB39" s="344"/>
      <c r="AC39" s="353"/>
      <c r="AD39" s="361"/>
      <c r="AE39" s="71">
        <f t="shared" si="2"/>
        <v>0</v>
      </c>
      <c r="AF39" s="348"/>
      <c r="AG39" s="351"/>
      <c r="AH39" s="352"/>
      <c r="AI39" s="56">
        <f t="shared" si="8"/>
        <v>0</v>
      </c>
      <c r="AJ39" s="57">
        <v>32</v>
      </c>
      <c r="AK39" s="58">
        <f t="shared" si="3"/>
        <v>1.5416666666666667E-2</v>
      </c>
    </row>
    <row r="40" spans="2:42" x14ac:dyDescent="0.3">
      <c r="C40" s="348"/>
      <c r="D40" s="341"/>
      <c r="E40" s="335"/>
      <c r="F40" s="336"/>
      <c r="G40" s="349"/>
      <c r="H40" s="350"/>
      <c r="I40" s="350"/>
      <c r="J40" s="354"/>
      <c r="K40" s="355"/>
      <c r="L40" s="356"/>
      <c r="M40" s="355"/>
      <c r="N40" s="356"/>
      <c r="O40" s="355"/>
      <c r="P40" s="357"/>
      <c r="Q40" s="337">
        <f t="shared" si="10"/>
        <v>0</v>
      </c>
      <c r="R40" s="337">
        <f t="shared" si="9"/>
        <v>0</v>
      </c>
      <c r="S40" s="338">
        <f t="shared" ref="S40:S67" si="11">IF(R40=0,0,M40/P40)</f>
        <v>0</v>
      </c>
      <c r="T40" s="339">
        <f t="shared" ref="T40:T67" si="12" xml:space="preserve">   IF(        AND(P40=0,N40=0),61,    IF(         P40=0, N40, MIN(P40+L40-1,N40)))</f>
        <v>61</v>
      </c>
      <c r="U40" s="339">
        <f t="shared" si="6"/>
        <v>0</v>
      </c>
      <c r="V40" s="339">
        <f t="shared" ref="V40:V67" si="13">O40-(M40-R40* S40)</f>
        <v>0</v>
      </c>
      <c r="W40" s="360"/>
      <c r="X40" s="358"/>
      <c r="Y40" s="359"/>
      <c r="Z40" s="343"/>
      <c r="AA40" s="356"/>
      <c r="AB40" s="344"/>
      <c r="AC40" s="353"/>
      <c r="AD40" s="361"/>
      <c r="AE40" s="71">
        <f t="shared" ref="AE40:AE67" si="14">AB40*AC40/12*(1+AD40)*(1+CompLoad)</f>
        <v>0</v>
      </c>
      <c r="AF40" s="348"/>
      <c r="AG40" s="351"/>
      <c r="AH40" s="352"/>
      <c r="AI40" s="56">
        <f t="shared" si="8"/>
        <v>0</v>
      </c>
      <c r="AJ40" s="57">
        <v>33</v>
      </c>
      <c r="AK40" s="58">
        <f t="shared" si="3"/>
        <v>1.5416666666666667E-2</v>
      </c>
      <c r="AL40" s="83"/>
      <c r="AO40" s="84"/>
      <c r="AP40" s="82"/>
    </row>
    <row r="41" spans="2:42" x14ac:dyDescent="0.3">
      <c r="C41" s="348"/>
      <c r="D41" s="341"/>
      <c r="E41" s="335"/>
      <c r="F41" s="336"/>
      <c r="G41" s="349"/>
      <c r="H41" s="350"/>
      <c r="I41" s="350"/>
      <c r="J41" s="354"/>
      <c r="K41" s="355"/>
      <c r="L41" s="356"/>
      <c r="M41" s="355"/>
      <c r="N41" s="356"/>
      <c r="O41" s="355"/>
      <c r="P41" s="357"/>
      <c r="Q41" s="337">
        <f t="shared" si="10"/>
        <v>0</v>
      </c>
      <c r="R41" s="337">
        <f t="shared" si="9"/>
        <v>0</v>
      </c>
      <c r="S41" s="338">
        <f t="shared" si="11"/>
        <v>0</v>
      </c>
      <c r="T41" s="339">
        <f t="shared" si="12"/>
        <v>61</v>
      </c>
      <c r="U41" s="339">
        <f t="shared" si="6"/>
        <v>0</v>
      </c>
      <c r="V41" s="339">
        <f t="shared" si="13"/>
        <v>0</v>
      </c>
      <c r="W41" s="360"/>
      <c r="X41" s="358"/>
      <c r="Y41" s="359"/>
      <c r="Z41" s="343"/>
      <c r="AA41" s="356"/>
      <c r="AB41" s="344"/>
      <c r="AC41" s="353"/>
      <c r="AD41" s="361"/>
      <c r="AE41" s="71">
        <f t="shared" si="14"/>
        <v>0</v>
      </c>
      <c r="AF41" s="348"/>
      <c r="AG41" s="351"/>
      <c r="AH41" s="352"/>
      <c r="AI41" s="56">
        <f t="shared" si="8"/>
        <v>0</v>
      </c>
      <c r="AJ41" s="57">
        <v>34</v>
      </c>
      <c r="AK41" s="58">
        <f t="shared" si="3"/>
        <v>1.5416666666666667E-2</v>
      </c>
      <c r="AL41" s="83"/>
      <c r="AO41" s="84"/>
    </row>
    <row r="42" spans="2:42" x14ac:dyDescent="0.3">
      <c r="C42" s="348"/>
      <c r="D42" s="341"/>
      <c r="E42" s="335"/>
      <c r="F42" s="336"/>
      <c r="G42" s="349"/>
      <c r="H42" s="350"/>
      <c r="I42" s="350"/>
      <c r="J42" s="354"/>
      <c r="K42" s="355"/>
      <c r="L42" s="356"/>
      <c r="M42" s="355"/>
      <c r="N42" s="356"/>
      <c r="O42" s="355"/>
      <c r="P42" s="357"/>
      <c r="Q42" s="337">
        <f t="shared" si="10"/>
        <v>0</v>
      </c>
      <c r="R42" s="337">
        <f t="shared" si="9"/>
        <v>0</v>
      </c>
      <c r="S42" s="338">
        <f t="shared" si="11"/>
        <v>0</v>
      </c>
      <c r="T42" s="339">
        <f t="shared" si="12"/>
        <v>61</v>
      </c>
      <c r="U42" s="339">
        <f t="shared" si="6"/>
        <v>0</v>
      </c>
      <c r="V42" s="339">
        <f t="shared" si="13"/>
        <v>0</v>
      </c>
      <c r="W42" s="360"/>
      <c r="X42" s="358"/>
      <c r="Y42" s="359"/>
      <c r="Z42" s="343"/>
      <c r="AA42" s="356"/>
      <c r="AB42" s="344"/>
      <c r="AC42" s="353"/>
      <c r="AD42" s="361"/>
      <c r="AE42" s="71">
        <f t="shared" si="14"/>
        <v>0</v>
      </c>
      <c r="AF42" s="348"/>
      <c r="AG42" s="351"/>
      <c r="AH42" s="352"/>
      <c r="AI42" s="56">
        <f t="shared" si="8"/>
        <v>0</v>
      </c>
      <c r="AJ42" s="57">
        <v>35</v>
      </c>
      <c r="AK42" s="58">
        <f t="shared" si="3"/>
        <v>1.5416666666666667E-2</v>
      </c>
      <c r="AL42" s="76"/>
      <c r="AN42" s="86"/>
      <c r="AO42" s="84"/>
      <c r="AP42" s="83"/>
    </row>
    <row r="43" spans="2:42" x14ac:dyDescent="0.3">
      <c r="C43" s="348"/>
      <c r="D43" s="341"/>
      <c r="E43" s="335"/>
      <c r="F43" s="336"/>
      <c r="G43" s="349"/>
      <c r="H43" s="350"/>
      <c r="I43" s="350"/>
      <c r="J43" s="354"/>
      <c r="K43" s="355"/>
      <c r="L43" s="356"/>
      <c r="M43" s="355"/>
      <c r="N43" s="356"/>
      <c r="O43" s="355"/>
      <c r="P43" s="357"/>
      <c r="Q43" s="337">
        <f t="shared" si="10"/>
        <v>0</v>
      </c>
      <c r="R43" s="337">
        <f t="shared" ref="R43:R67" si="15">IF(Q43=0,0,Q43-L43+1)</f>
        <v>0</v>
      </c>
      <c r="S43" s="338">
        <f t="shared" si="11"/>
        <v>0</v>
      </c>
      <c r="T43" s="339">
        <f t="shared" si="12"/>
        <v>61</v>
      </c>
      <c r="U43" s="339">
        <f t="shared" si="6"/>
        <v>0</v>
      </c>
      <c r="V43" s="339">
        <f t="shared" si="13"/>
        <v>0</v>
      </c>
      <c r="W43" s="360"/>
      <c r="X43" s="358"/>
      <c r="Y43" s="359"/>
      <c r="Z43" s="343"/>
      <c r="AA43" s="356"/>
      <c r="AB43" s="344"/>
      <c r="AC43" s="353"/>
      <c r="AD43" s="361"/>
      <c r="AE43" s="71">
        <f t="shared" si="14"/>
        <v>0</v>
      </c>
      <c r="AF43" s="348"/>
      <c r="AG43" s="351"/>
      <c r="AH43" s="352"/>
      <c r="AI43" s="56">
        <f t="shared" si="8"/>
        <v>0</v>
      </c>
      <c r="AJ43" s="57">
        <v>36</v>
      </c>
      <c r="AK43" s="58">
        <f t="shared" si="3"/>
        <v>1.5416666666666667E-2</v>
      </c>
      <c r="AL43" s="76"/>
      <c r="AN43" s="86"/>
      <c r="AO43" s="84"/>
      <c r="AP43" s="83"/>
    </row>
    <row r="44" spans="2:42" x14ac:dyDescent="0.3">
      <c r="C44" s="348"/>
      <c r="D44" s="341"/>
      <c r="E44" s="335"/>
      <c r="F44" s="336"/>
      <c r="G44" s="349"/>
      <c r="H44" s="350"/>
      <c r="I44" s="350"/>
      <c r="J44" s="354"/>
      <c r="K44" s="355"/>
      <c r="L44" s="356"/>
      <c r="M44" s="355"/>
      <c r="N44" s="356"/>
      <c r="O44" s="355"/>
      <c r="P44" s="357"/>
      <c r="Q44" s="337">
        <f t="shared" si="10"/>
        <v>0</v>
      </c>
      <c r="R44" s="337">
        <f t="shared" si="15"/>
        <v>0</v>
      </c>
      <c r="S44" s="338">
        <f t="shared" si="11"/>
        <v>0</v>
      </c>
      <c r="T44" s="339">
        <f t="shared" si="12"/>
        <v>61</v>
      </c>
      <c r="U44" s="339">
        <f t="shared" si="6"/>
        <v>0</v>
      </c>
      <c r="V44" s="339">
        <f t="shared" si="13"/>
        <v>0</v>
      </c>
      <c r="W44" s="360"/>
      <c r="X44" s="358"/>
      <c r="Y44" s="359"/>
      <c r="Z44" s="343"/>
      <c r="AA44" s="356"/>
      <c r="AB44" s="344"/>
      <c r="AC44" s="353"/>
      <c r="AD44" s="361"/>
      <c r="AE44" s="71">
        <f t="shared" si="14"/>
        <v>0</v>
      </c>
      <c r="AF44" s="348"/>
      <c r="AG44" s="351"/>
      <c r="AH44" s="352"/>
      <c r="AI44" s="56">
        <f t="shared" si="8"/>
        <v>0</v>
      </c>
      <c r="AJ44" s="57">
        <v>37</v>
      </c>
      <c r="AK44" s="58">
        <f t="shared" si="3"/>
        <v>1.5416666666666667E-2</v>
      </c>
      <c r="AL44" s="76"/>
      <c r="AN44" s="86"/>
      <c r="AP44" s="82"/>
    </row>
    <row r="45" spans="2:42" x14ac:dyDescent="0.3">
      <c r="C45" s="348"/>
      <c r="D45" s="341"/>
      <c r="E45" s="335"/>
      <c r="F45" s="336"/>
      <c r="G45" s="349"/>
      <c r="H45" s="350"/>
      <c r="I45" s="350"/>
      <c r="J45" s="354"/>
      <c r="K45" s="355"/>
      <c r="L45" s="356"/>
      <c r="M45" s="355"/>
      <c r="N45" s="356"/>
      <c r="O45" s="355"/>
      <c r="P45" s="357"/>
      <c r="Q45" s="337">
        <f t="shared" si="10"/>
        <v>0</v>
      </c>
      <c r="R45" s="337">
        <f t="shared" si="15"/>
        <v>0</v>
      </c>
      <c r="S45" s="338">
        <f t="shared" si="11"/>
        <v>0</v>
      </c>
      <c r="T45" s="339">
        <f t="shared" si="12"/>
        <v>61</v>
      </c>
      <c r="U45" s="339">
        <f t="shared" si="6"/>
        <v>0</v>
      </c>
      <c r="V45" s="339">
        <f t="shared" si="13"/>
        <v>0</v>
      </c>
      <c r="W45" s="360"/>
      <c r="X45" s="358"/>
      <c r="Y45" s="359"/>
      <c r="Z45" s="343"/>
      <c r="AA45" s="356"/>
      <c r="AB45" s="344"/>
      <c r="AC45" s="353"/>
      <c r="AD45" s="361"/>
      <c r="AE45" s="71">
        <f t="shared" si="14"/>
        <v>0</v>
      </c>
      <c r="AF45" s="348"/>
      <c r="AG45" s="351"/>
      <c r="AH45" s="352"/>
      <c r="AI45" s="56">
        <f t="shared" si="8"/>
        <v>0</v>
      </c>
      <c r="AJ45" s="57">
        <v>38</v>
      </c>
      <c r="AK45" s="58">
        <f t="shared" si="3"/>
        <v>1.5416666666666667E-2</v>
      </c>
      <c r="AL45" s="76"/>
      <c r="AN45" s="86"/>
      <c r="AO45" s="84"/>
      <c r="AP45" s="82"/>
    </row>
    <row r="46" spans="2:42" x14ac:dyDescent="0.3">
      <c r="C46" s="348"/>
      <c r="D46" s="341"/>
      <c r="E46" s="335"/>
      <c r="F46" s="336"/>
      <c r="G46" s="349"/>
      <c r="H46" s="350"/>
      <c r="I46" s="350"/>
      <c r="J46" s="354"/>
      <c r="K46" s="355"/>
      <c r="L46" s="356"/>
      <c r="M46" s="355"/>
      <c r="N46" s="356"/>
      <c r="O46" s="355"/>
      <c r="P46" s="357"/>
      <c r="Q46" s="337">
        <f t="shared" si="10"/>
        <v>0</v>
      </c>
      <c r="R46" s="337">
        <f t="shared" si="15"/>
        <v>0</v>
      </c>
      <c r="S46" s="338">
        <f t="shared" si="11"/>
        <v>0</v>
      </c>
      <c r="T46" s="339">
        <f t="shared" si="12"/>
        <v>61</v>
      </c>
      <c r="U46" s="339">
        <f t="shared" si="6"/>
        <v>0</v>
      </c>
      <c r="V46" s="339">
        <f t="shared" si="13"/>
        <v>0</v>
      </c>
      <c r="W46" s="360"/>
      <c r="X46" s="358"/>
      <c r="Y46" s="359"/>
      <c r="Z46" s="343"/>
      <c r="AA46" s="356"/>
      <c r="AB46" s="344"/>
      <c r="AC46" s="353"/>
      <c r="AD46" s="361"/>
      <c r="AE46" s="71">
        <f t="shared" si="14"/>
        <v>0</v>
      </c>
      <c r="AF46" s="348"/>
      <c r="AG46" s="351"/>
      <c r="AH46" s="352"/>
      <c r="AI46" s="56">
        <f t="shared" si="8"/>
        <v>0</v>
      </c>
      <c r="AJ46" s="57">
        <v>39</v>
      </c>
      <c r="AK46" s="58">
        <f t="shared" si="3"/>
        <v>1.5416666666666667E-2</v>
      </c>
      <c r="AL46" s="76"/>
      <c r="AP46" s="82"/>
    </row>
    <row r="47" spans="2:42" x14ac:dyDescent="0.3">
      <c r="C47" s="348"/>
      <c r="D47" s="341"/>
      <c r="E47" s="335"/>
      <c r="F47" s="336"/>
      <c r="G47" s="349"/>
      <c r="H47" s="350"/>
      <c r="I47" s="350"/>
      <c r="J47" s="354"/>
      <c r="K47" s="355"/>
      <c r="L47" s="356"/>
      <c r="M47" s="355"/>
      <c r="N47" s="356"/>
      <c r="O47" s="355"/>
      <c r="P47" s="357"/>
      <c r="Q47" s="337">
        <f t="shared" si="10"/>
        <v>0</v>
      </c>
      <c r="R47" s="337">
        <f t="shared" si="15"/>
        <v>0</v>
      </c>
      <c r="S47" s="338">
        <f t="shared" si="11"/>
        <v>0</v>
      </c>
      <c r="T47" s="339">
        <f t="shared" si="12"/>
        <v>61</v>
      </c>
      <c r="U47" s="339">
        <f t="shared" si="6"/>
        <v>0</v>
      </c>
      <c r="V47" s="339">
        <f t="shared" si="13"/>
        <v>0</v>
      </c>
      <c r="W47" s="360"/>
      <c r="X47" s="358"/>
      <c r="Y47" s="359"/>
      <c r="Z47" s="343"/>
      <c r="AA47" s="356"/>
      <c r="AB47" s="344"/>
      <c r="AC47" s="353"/>
      <c r="AD47" s="361"/>
      <c r="AE47" s="71">
        <f t="shared" si="14"/>
        <v>0</v>
      </c>
      <c r="AF47" s="348"/>
      <c r="AG47" s="351"/>
      <c r="AH47" s="352"/>
      <c r="AI47" s="56">
        <f t="shared" si="8"/>
        <v>0</v>
      </c>
      <c r="AJ47" s="57">
        <v>40</v>
      </c>
      <c r="AK47" s="58">
        <f t="shared" si="3"/>
        <v>1.5416666666666667E-2</v>
      </c>
      <c r="AL47" s="76"/>
      <c r="AP47" s="82"/>
    </row>
    <row r="48" spans="2:42" x14ac:dyDescent="0.3">
      <c r="C48" s="348"/>
      <c r="D48" s="341"/>
      <c r="E48" s="335"/>
      <c r="F48" s="336"/>
      <c r="G48" s="349"/>
      <c r="H48" s="350"/>
      <c r="I48" s="350"/>
      <c r="J48" s="354"/>
      <c r="K48" s="355"/>
      <c r="L48" s="356"/>
      <c r="M48" s="355"/>
      <c r="N48" s="356"/>
      <c r="O48" s="355"/>
      <c r="P48" s="357"/>
      <c r="Q48" s="337">
        <f t="shared" si="10"/>
        <v>0</v>
      </c>
      <c r="R48" s="337">
        <f t="shared" si="15"/>
        <v>0</v>
      </c>
      <c r="S48" s="338">
        <f t="shared" si="11"/>
        <v>0</v>
      </c>
      <c r="T48" s="339">
        <f t="shared" si="12"/>
        <v>61</v>
      </c>
      <c r="U48" s="339">
        <f t="shared" si="6"/>
        <v>0</v>
      </c>
      <c r="V48" s="339">
        <f t="shared" si="13"/>
        <v>0</v>
      </c>
      <c r="W48" s="360"/>
      <c r="X48" s="358"/>
      <c r="Y48" s="359"/>
      <c r="Z48" s="343"/>
      <c r="AA48" s="356"/>
      <c r="AB48" s="344"/>
      <c r="AC48" s="353"/>
      <c r="AD48" s="361"/>
      <c r="AE48" s="71">
        <f t="shared" si="14"/>
        <v>0</v>
      </c>
      <c r="AF48" s="348"/>
      <c r="AG48" s="351"/>
      <c r="AH48" s="352"/>
      <c r="AI48" s="56">
        <f t="shared" si="8"/>
        <v>0</v>
      </c>
      <c r="AJ48" s="57">
        <v>41</v>
      </c>
      <c r="AK48" s="58">
        <f t="shared" si="3"/>
        <v>1.5416666666666667E-2</v>
      </c>
      <c r="AL48" s="76"/>
      <c r="AP48" s="82"/>
    </row>
    <row r="49" spans="3:42" x14ac:dyDescent="0.3">
      <c r="C49" s="348"/>
      <c r="D49" s="341"/>
      <c r="E49" s="335"/>
      <c r="F49" s="336"/>
      <c r="G49" s="349"/>
      <c r="H49" s="350"/>
      <c r="I49" s="350"/>
      <c r="J49" s="354"/>
      <c r="K49" s="355"/>
      <c r="L49" s="356"/>
      <c r="M49" s="355"/>
      <c r="N49" s="356"/>
      <c r="O49" s="355"/>
      <c r="P49" s="357"/>
      <c r="Q49" s="337">
        <f t="shared" si="10"/>
        <v>0</v>
      </c>
      <c r="R49" s="337">
        <f t="shared" si="15"/>
        <v>0</v>
      </c>
      <c r="S49" s="338">
        <f t="shared" si="11"/>
        <v>0</v>
      </c>
      <c r="T49" s="339">
        <f t="shared" si="12"/>
        <v>61</v>
      </c>
      <c r="U49" s="339">
        <f t="shared" si="6"/>
        <v>0</v>
      </c>
      <c r="V49" s="339">
        <f t="shared" si="13"/>
        <v>0</v>
      </c>
      <c r="W49" s="360"/>
      <c r="X49" s="358"/>
      <c r="Y49" s="359"/>
      <c r="Z49" s="343"/>
      <c r="AA49" s="356"/>
      <c r="AB49" s="344"/>
      <c r="AC49" s="353"/>
      <c r="AD49" s="361"/>
      <c r="AE49" s="71">
        <f t="shared" si="14"/>
        <v>0</v>
      </c>
      <c r="AF49" s="348"/>
      <c r="AG49" s="351"/>
      <c r="AH49" s="352"/>
      <c r="AI49" s="56">
        <f t="shared" si="8"/>
        <v>0</v>
      </c>
      <c r="AJ49" s="57">
        <v>42</v>
      </c>
      <c r="AK49" s="58">
        <f t="shared" si="3"/>
        <v>1.5416666666666667E-2</v>
      </c>
      <c r="AL49" s="76"/>
      <c r="AM49" s="85"/>
      <c r="AP49" s="82"/>
    </row>
    <row r="50" spans="3:42" x14ac:dyDescent="0.3">
      <c r="C50" s="348"/>
      <c r="D50" s="341"/>
      <c r="E50" s="335"/>
      <c r="F50" s="336"/>
      <c r="G50" s="349"/>
      <c r="H50" s="350"/>
      <c r="I50" s="350"/>
      <c r="J50" s="354"/>
      <c r="K50" s="355"/>
      <c r="L50" s="356"/>
      <c r="M50" s="355"/>
      <c r="N50" s="356"/>
      <c r="O50" s="355"/>
      <c r="P50" s="357"/>
      <c r="Q50" s="337">
        <f t="shared" si="10"/>
        <v>0</v>
      </c>
      <c r="R50" s="337">
        <f t="shared" si="15"/>
        <v>0</v>
      </c>
      <c r="S50" s="338">
        <f t="shared" si="11"/>
        <v>0</v>
      </c>
      <c r="T50" s="339">
        <f t="shared" si="12"/>
        <v>61</v>
      </c>
      <c r="U50" s="339">
        <f t="shared" si="6"/>
        <v>0</v>
      </c>
      <c r="V50" s="339">
        <f t="shared" si="13"/>
        <v>0</v>
      </c>
      <c r="W50" s="360"/>
      <c r="X50" s="358"/>
      <c r="Y50" s="359"/>
      <c r="Z50" s="343"/>
      <c r="AA50" s="356"/>
      <c r="AB50" s="344"/>
      <c r="AC50" s="353"/>
      <c r="AD50" s="361"/>
      <c r="AE50" s="71">
        <f t="shared" si="14"/>
        <v>0</v>
      </c>
      <c r="AF50" s="348"/>
      <c r="AG50" s="351"/>
      <c r="AH50" s="352"/>
      <c r="AI50" s="56">
        <f t="shared" si="8"/>
        <v>0</v>
      </c>
      <c r="AJ50" s="57">
        <v>43</v>
      </c>
      <c r="AK50" s="58">
        <f t="shared" si="3"/>
        <v>1.5416666666666667E-2</v>
      </c>
      <c r="AM50" s="85"/>
      <c r="AP50" s="82"/>
    </row>
    <row r="51" spans="3:42" x14ac:dyDescent="0.3">
      <c r="C51" s="348"/>
      <c r="D51" s="341"/>
      <c r="E51" s="335"/>
      <c r="F51" s="336"/>
      <c r="G51" s="349"/>
      <c r="H51" s="350"/>
      <c r="I51" s="350"/>
      <c r="J51" s="354"/>
      <c r="K51" s="355"/>
      <c r="L51" s="356"/>
      <c r="M51" s="355"/>
      <c r="N51" s="356"/>
      <c r="O51" s="355"/>
      <c r="P51" s="357"/>
      <c r="Q51" s="337">
        <f t="shared" si="10"/>
        <v>0</v>
      </c>
      <c r="R51" s="337">
        <f t="shared" si="15"/>
        <v>0</v>
      </c>
      <c r="S51" s="338">
        <f t="shared" si="11"/>
        <v>0</v>
      </c>
      <c r="T51" s="339">
        <f t="shared" si="12"/>
        <v>61</v>
      </c>
      <c r="U51" s="339">
        <f t="shared" si="6"/>
        <v>0</v>
      </c>
      <c r="V51" s="339">
        <f t="shared" si="13"/>
        <v>0</v>
      </c>
      <c r="W51" s="360"/>
      <c r="X51" s="358"/>
      <c r="Y51" s="359"/>
      <c r="Z51" s="343"/>
      <c r="AA51" s="356"/>
      <c r="AB51" s="344"/>
      <c r="AC51" s="353"/>
      <c r="AD51" s="361"/>
      <c r="AE51" s="71">
        <f t="shared" si="14"/>
        <v>0</v>
      </c>
      <c r="AF51" s="348"/>
      <c r="AG51" s="351"/>
      <c r="AH51" s="352"/>
      <c r="AI51" s="56">
        <f t="shared" si="8"/>
        <v>0</v>
      </c>
      <c r="AJ51" s="57">
        <v>44</v>
      </c>
      <c r="AK51" s="58">
        <f t="shared" si="3"/>
        <v>1.5416666666666667E-2</v>
      </c>
      <c r="AM51" s="85"/>
      <c r="AP51" s="82"/>
    </row>
    <row r="52" spans="3:42" x14ac:dyDescent="0.3">
      <c r="C52" s="348"/>
      <c r="D52" s="341"/>
      <c r="E52" s="335"/>
      <c r="F52" s="336"/>
      <c r="G52" s="349"/>
      <c r="H52" s="350"/>
      <c r="I52" s="350"/>
      <c r="J52" s="354"/>
      <c r="K52" s="355"/>
      <c r="L52" s="356"/>
      <c r="M52" s="355"/>
      <c r="N52" s="356"/>
      <c r="O52" s="355"/>
      <c r="P52" s="357"/>
      <c r="Q52" s="337">
        <f t="shared" si="10"/>
        <v>0</v>
      </c>
      <c r="R52" s="337">
        <f t="shared" si="15"/>
        <v>0</v>
      </c>
      <c r="S52" s="338">
        <f t="shared" si="11"/>
        <v>0</v>
      </c>
      <c r="T52" s="339">
        <f t="shared" si="12"/>
        <v>61</v>
      </c>
      <c r="U52" s="339">
        <f t="shared" si="6"/>
        <v>0</v>
      </c>
      <c r="V52" s="339">
        <f t="shared" si="13"/>
        <v>0</v>
      </c>
      <c r="W52" s="360"/>
      <c r="X52" s="358"/>
      <c r="Y52" s="359"/>
      <c r="Z52" s="343"/>
      <c r="AA52" s="356"/>
      <c r="AB52" s="344"/>
      <c r="AC52" s="353"/>
      <c r="AD52" s="361"/>
      <c r="AE52" s="71">
        <f t="shared" si="14"/>
        <v>0</v>
      </c>
      <c r="AF52" s="348"/>
      <c r="AG52" s="351"/>
      <c r="AH52" s="352"/>
      <c r="AI52" s="56">
        <f t="shared" si="8"/>
        <v>0</v>
      </c>
      <c r="AJ52" s="57">
        <v>45</v>
      </c>
      <c r="AK52" s="58">
        <f t="shared" si="3"/>
        <v>1.5416666666666667E-2</v>
      </c>
      <c r="AM52" s="85"/>
      <c r="AP52" s="82"/>
    </row>
    <row r="53" spans="3:42" x14ac:dyDescent="0.3">
      <c r="C53" s="348"/>
      <c r="D53" s="341"/>
      <c r="E53" s="335"/>
      <c r="F53" s="336"/>
      <c r="G53" s="349"/>
      <c r="H53" s="350"/>
      <c r="I53" s="350"/>
      <c r="J53" s="354"/>
      <c r="K53" s="355"/>
      <c r="L53" s="356"/>
      <c r="M53" s="355"/>
      <c r="N53" s="356"/>
      <c r="O53" s="355"/>
      <c r="P53" s="357"/>
      <c r="Q53" s="337">
        <f t="shared" si="10"/>
        <v>0</v>
      </c>
      <c r="R53" s="337">
        <f t="shared" si="15"/>
        <v>0</v>
      </c>
      <c r="S53" s="338">
        <f t="shared" si="11"/>
        <v>0</v>
      </c>
      <c r="T53" s="339">
        <f t="shared" si="12"/>
        <v>61</v>
      </c>
      <c r="U53" s="339">
        <f t="shared" si="6"/>
        <v>0</v>
      </c>
      <c r="V53" s="339">
        <f t="shared" si="13"/>
        <v>0</v>
      </c>
      <c r="W53" s="360"/>
      <c r="X53" s="358"/>
      <c r="Y53" s="359"/>
      <c r="Z53" s="343"/>
      <c r="AA53" s="356"/>
      <c r="AB53" s="344"/>
      <c r="AC53" s="353"/>
      <c r="AD53" s="361"/>
      <c r="AE53" s="71">
        <f t="shared" si="14"/>
        <v>0</v>
      </c>
      <c r="AF53" s="348"/>
      <c r="AG53" s="351"/>
      <c r="AH53" s="352"/>
      <c r="AI53" s="56">
        <f t="shared" si="8"/>
        <v>0</v>
      </c>
      <c r="AJ53" s="57">
        <v>46</v>
      </c>
      <c r="AK53" s="58">
        <f t="shared" si="3"/>
        <v>1.5416666666666667E-2</v>
      </c>
      <c r="AP53" s="82"/>
    </row>
    <row r="54" spans="3:42" x14ac:dyDescent="0.3">
      <c r="C54" s="348"/>
      <c r="D54" s="341"/>
      <c r="E54" s="335"/>
      <c r="F54" s="336"/>
      <c r="G54" s="349"/>
      <c r="H54" s="350"/>
      <c r="I54" s="350"/>
      <c r="J54" s="354"/>
      <c r="K54" s="355"/>
      <c r="L54" s="356"/>
      <c r="M54" s="355"/>
      <c r="N54" s="356"/>
      <c r="O54" s="355"/>
      <c r="P54" s="357"/>
      <c r="Q54" s="337">
        <f t="shared" si="10"/>
        <v>0</v>
      </c>
      <c r="R54" s="337">
        <f t="shared" si="15"/>
        <v>0</v>
      </c>
      <c r="S54" s="338">
        <f t="shared" si="11"/>
        <v>0</v>
      </c>
      <c r="T54" s="339">
        <f t="shared" si="12"/>
        <v>61</v>
      </c>
      <c r="U54" s="339">
        <f t="shared" si="6"/>
        <v>0</v>
      </c>
      <c r="V54" s="339">
        <f t="shared" si="13"/>
        <v>0</v>
      </c>
      <c r="W54" s="360"/>
      <c r="X54" s="358"/>
      <c r="Y54" s="359"/>
      <c r="Z54" s="343"/>
      <c r="AA54" s="356"/>
      <c r="AB54" s="344"/>
      <c r="AC54" s="353"/>
      <c r="AD54" s="361"/>
      <c r="AE54" s="71">
        <f t="shared" si="14"/>
        <v>0</v>
      </c>
      <c r="AF54" s="348"/>
      <c r="AG54" s="351"/>
      <c r="AH54" s="352"/>
      <c r="AI54" s="56">
        <f t="shared" si="8"/>
        <v>0</v>
      </c>
      <c r="AJ54" s="57">
        <v>47</v>
      </c>
      <c r="AK54" s="58">
        <f t="shared" si="3"/>
        <v>1.5416666666666667E-2</v>
      </c>
      <c r="AP54" s="82"/>
    </row>
    <row r="55" spans="3:42" x14ac:dyDescent="0.3">
      <c r="C55" s="348"/>
      <c r="D55" s="341"/>
      <c r="E55" s="335"/>
      <c r="F55" s="336"/>
      <c r="G55" s="349"/>
      <c r="H55" s="350"/>
      <c r="I55" s="350"/>
      <c r="J55" s="354"/>
      <c r="K55" s="355"/>
      <c r="L55" s="356"/>
      <c r="M55" s="355"/>
      <c r="N55" s="356"/>
      <c r="O55" s="355"/>
      <c r="P55" s="357"/>
      <c r="Q55" s="337">
        <f t="shared" si="10"/>
        <v>0</v>
      </c>
      <c r="R55" s="337">
        <f t="shared" si="15"/>
        <v>0</v>
      </c>
      <c r="S55" s="338">
        <f t="shared" si="11"/>
        <v>0</v>
      </c>
      <c r="T55" s="339">
        <f t="shared" si="12"/>
        <v>61</v>
      </c>
      <c r="U55" s="339">
        <f t="shared" si="6"/>
        <v>0</v>
      </c>
      <c r="V55" s="339">
        <f t="shared" si="13"/>
        <v>0</v>
      </c>
      <c r="W55" s="360"/>
      <c r="X55" s="358"/>
      <c r="Y55" s="359"/>
      <c r="Z55" s="343"/>
      <c r="AA55" s="356"/>
      <c r="AB55" s="344"/>
      <c r="AC55" s="353"/>
      <c r="AD55" s="361"/>
      <c r="AE55" s="71">
        <f t="shared" si="14"/>
        <v>0</v>
      </c>
      <c r="AF55" s="348"/>
      <c r="AG55" s="351"/>
      <c r="AH55" s="352"/>
      <c r="AI55" s="56">
        <f t="shared" si="8"/>
        <v>0</v>
      </c>
      <c r="AJ55" s="57">
        <v>48</v>
      </c>
      <c r="AK55" s="58">
        <f t="shared" si="3"/>
        <v>1.5416666666666667E-2</v>
      </c>
      <c r="AP55" s="82"/>
    </row>
    <row r="56" spans="3:42" x14ac:dyDescent="0.3">
      <c r="C56" s="348"/>
      <c r="D56" s="341"/>
      <c r="E56" s="335"/>
      <c r="F56" s="336"/>
      <c r="G56" s="349"/>
      <c r="H56" s="350"/>
      <c r="I56" s="350"/>
      <c r="J56" s="354"/>
      <c r="K56" s="355"/>
      <c r="L56" s="356"/>
      <c r="M56" s="355"/>
      <c r="N56" s="356"/>
      <c r="O56" s="355"/>
      <c r="P56" s="357"/>
      <c r="Q56" s="337">
        <f t="shared" si="10"/>
        <v>0</v>
      </c>
      <c r="R56" s="337">
        <f t="shared" si="15"/>
        <v>0</v>
      </c>
      <c r="S56" s="338">
        <f t="shared" si="11"/>
        <v>0</v>
      </c>
      <c r="T56" s="339">
        <f t="shared" si="12"/>
        <v>61</v>
      </c>
      <c r="U56" s="339">
        <f t="shared" si="6"/>
        <v>0</v>
      </c>
      <c r="V56" s="339">
        <f t="shared" si="13"/>
        <v>0</v>
      </c>
      <c r="W56" s="360"/>
      <c r="X56" s="358"/>
      <c r="Y56" s="359"/>
      <c r="Z56" s="343"/>
      <c r="AA56" s="356"/>
      <c r="AB56" s="344"/>
      <c r="AC56" s="353"/>
      <c r="AD56" s="361"/>
      <c r="AE56" s="71">
        <f t="shared" si="14"/>
        <v>0</v>
      </c>
      <c r="AF56" s="348"/>
      <c r="AG56" s="351"/>
      <c r="AH56" s="352"/>
      <c r="AI56" s="56">
        <f t="shared" si="8"/>
        <v>0</v>
      </c>
      <c r="AJ56" s="57">
        <v>49</v>
      </c>
      <c r="AK56" s="58">
        <f t="shared" si="3"/>
        <v>1.5416666666666667E-2</v>
      </c>
      <c r="AP56" s="82"/>
    </row>
    <row r="57" spans="3:42" x14ac:dyDescent="0.3">
      <c r="C57" s="348"/>
      <c r="D57" s="341"/>
      <c r="E57" s="335"/>
      <c r="F57" s="336"/>
      <c r="G57" s="349"/>
      <c r="H57" s="350"/>
      <c r="I57" s="350"/>
      <c r="J57" s="354"/>
      <c r="K57" s="355"/>
      <c r="L57" s="356"/>
      <c r="M57" s="355"/>
      <c r="N57" s="356"/>
      <c r="O57" s="355"/>
      <c r="P57" s="357"/>
      <c r="Q57" s="337">
        <f t="shared" si="10"/>
        <v>0</v>
      </c>
      <c r="R57" s="337">
        <f t="shared" si="15"/>
        <v>0</v>
      </c>
      <c r="S57" s="338">
        <f t="shared" si="11"/>
        <v>0</v>
      </c>
      <c r="T57" s="339">
        <f t="shared" si="12"/>
        <v>61</v>
      </c>
      <c r="U57" s="339">
        <f t="shared" si="6"/>
        <v>0</v>
      </c>
      <c r="V57" s="339">
        <f t="shared" si="13"/>
        <v>0</v>
      </c>
      <c r="W57" s="360"/>
      <c r="X57" s="358"/>
      <c r="Y57" s="359"/>
      <c r="Z57" s="343"/>
      <c r="AA57" s="356"/>
      <c r="AB57" s="344"/>
      <c r="AC57" s="353"/>
      <c r="AD57" s="361"/>
      <c r="AE57" s="71">
        <f t="shared" si="14"/>
        <v>0</v>
      </c>
      <c r="AF57" s="348"/>
      <c r="AG57" s="351"/>
      <c r="AH57" s="352"/>
      <c r="AI57" s="56">
        <f t="shared" si="8"/>
        <v>0</v>
      </c>
      <c r="AJ57" s="57">
        <v>50</v>
      </c>
      <c r="AK57" s="58">
        <f t="shared" si="3"/>
        <v>1.5416666666666667E-2</v>
      </c>
      <c r="AP57" s="82"/>
    </row>
    <row r="58" spans="3:42" x14ac:dyDescent="0.3">
      <c r="C58" s="348"/>
      <c r="D58" s="341"/>
      <c r="E58" s="335"/>
      <c r="F58" s="336"/>
      <c r="G58" s="349"/>
      <c r="H58" s="350"/>
      <c r="I58" s="350"/>
      <c r="J58" s="354"/>
      <c r="K58" s="355"/>
      <c r="L58" s="356"/>
      <c r="M58" s="355"/>
      <c r="N58" s="356"/>
      <c r="O58" s="355"/>
      <c r="P58" s="357"/>
      <c r="Q58" s="337">
        <f t="shared" si="10"/>
        <v>0</v>
      </c>
      <c r="R58" s="337">
        <f t="shared" si="15"/>
        <v>0</v>
      </c>
      <c r="S58" s="338">
        <f t="shared" si="11"/>
        <v>0</v>
      </c>
      <c r="T58" s="339">
        <f t="shared" si="12"/>
        <v>61</v>
      </c>
      <c r="U58" s="339">
        <f t="shared" si="6"/>
        <v>0</v>
      </c>
      <c r="V58" s="339">
        <f t="shared" si="13"/>
        <v>0</v>
      </c>
      <c r="W58" s="360"/>
      <c r="X58" s="358"/>
      <c r="Y58" s="359"/>
      <c r="Z58" s="343"/>
      <c r="AA58" s="356"/>
      <c r="AB58" s="344"/>
      <c r="AC58" s="353"/>
      <c r="AD58" s="361"/>
      <c r="AE58" s="71">
        <f t="shared" si="14"/>
        <v>0</v>
      </c>
      <c r="AF58" s="348"/>
      <c r="AG58" s="351"/>
      <c r="AH58" s="352"/>
      <c r="AI58" s="56">
        <f t="shared" si="8"/>
        <v>0</v>
      </c>
      <c r="AJ58" s="57">
        <v>51</v>
      </c>
      <c r="AK58" s="58">
        <f t="shared" si="3"/>
        <v>1.5416666666666667E-2</v>
      </c>
      <c r="AP58" s="82"/>
    </row>
    <row r="59" spans="3:42" x14ac:dyDescent="0.3">
      <c r="C59" s="348"/>
      <c r="D59" s="341"/>
      <c r="E59" s="335"/>
      <c r="F59" s="336"/>
      <c r="G59" s="349"/>
      <c r="H59" s="350"/>
      <c r="I59" s="350"/>
      <c r="J59" s="354"/>
      <c r="K59" s="355"/>
      <c r="L59" s="356"/>
      <c r="M59" s="355"/>
      <c r="N59" s="356"/>
      <c r="O59" s="355"/>
      <c r="P59" s="357"/>
      <c r="Q59" s="337">
        <f t="shared" si="10"/>
        <v>0</v>
      </c>
      <c r="R59" s="337">
        <f t="shared" si="15"/>
        <v>0</v>
      </c>
      <c r="S59" s="338">
        <f t="shared" si="11"/>
        <v>0</v>
      </c>
      <c r="T59" s="339">
        <f t="shared" si="12"/>
        <v>61</v>
      </c>
      <c r="U59" s="339">
        <f t="shared" si="6"/>
        <v>0</v>
      </c>
      <c r="V59" s="339">
        <f t="shared" si="13"/>
        <v>0</v>
      </c>
      <c r="W59" s="360"/>
      <c r="X59" s="358"/>
      <c r="Y59" s="359"/>
      <c r="Z59" s="343"/>
      <c r="AA59" s="356"/>
      <c r="AB59" s="344"/>
      <c r="AC59" s="353"/>
      <c r="AD59" s="361"/>
      <c r="AE59" s="71">
        <f t="shared" si="14"/>
        <v>0</v>
      </c>
      <c r="AF59" s="348"/>
      <c r="AG59" s="351"/>
      <c r="AH59" s="352"/>
      <c r="AI59" s="56">
        <f t="shared" si="8"/>
        <v>0</v>
      </c>
      <c r="AJ59" s="57">
        <v>52</v>
      </c>
      <c r="AK59" s="58">
        <f t="shared" si="3"/>
        <v>1.5416666666666667E-2</v>
      </c>
      <c r="AP59" s="82"/>
    </row>
    <row r="60" spans="3:42" x14ac:dyDescent="0.3">
      <c r="C60" s="348"/>
      <c r="D60" s="341"/>
      <c r="E60" s="335"/>
      <c r="F60" s="336"/>
      <c r="G60" s="349"/>
      <c r="H60" s="350"/>
      <c r="I60" s="350"/>
      <c r="J60" s="354"/>
      <c r="K60" s="355"/>
      <c r="L60" s="356"/>
      <c r="M60" s="355"/>
      <c r="N60" s="356"/>
      <c r="O60" s="355"/>
      <c r="P60" s="357"/>
      <c r="Q60" s="337">
        <f t="shared" si="10"/>
        <v>0</v>
      </c>
      <c r="R60" s="337">
        <f t="shared" si="15"/>
        <v>0</v>
      </c>
      <c r="S60" s="338">
        <f t="shared" si="11"/>
        <v>0</v>
      </c>
      <c r="T60" s="339">
        <f t="shared" si="12"/>
        <v>61</v>
      </c>
      <c r="U60" s="339">
        <f t="shared" si="6"/>
        <v>0</v>
      </c>
      <c r="V60" s="339">
        <f t="shared" si="13"/>
        <v>0</v>
      </c>
      <c r="W60" s="360"/>
      <c r="X60" s="358"/>
      <c r="Y60" s="359"/>
      <c r="Z60" s="343"/>
      <c r="AA60" s="356"/>
      <c r="AB60" s="344"/>
      <c r="AC60" s="353"/>
      <c r="AD60" s="361"/>
      <c r="AE60" s="71">
        <f t="shared" si="14"/>
        <v>0</v>
      </c>
      <c r="AF60" s="348"/>
      <c r="AG60" s="351"/>
      <c r="AH60" s="352"/>
      <c r="AI60" s="56">
        <f t="shared" si="8"/>
        <v>0</v>
      </c>
      <c r="AJ60" s="57">
        <v>53</v>
      </c>
      <c r="AK60" s="58">
        <f t="shared" si="3"/>
        <v>1.5416666666666667E-2</v>
      </c>
      <c r="AP60" s="82"/>
    </row>
    <row r="61" spans="3:42" x14ac:dyDescent="0.3">
      <c r="C61" s="348"/>
      <c r="D61" s="341"/>
      <c r="E61" s="335"/>
      <c r="F61" s="336"/>
      <c r="G61" s="349"/>
      <c r="H61" s="350"/>
      <c r="I61" s="350"/>
      <c r="J61" s="354"/>
      <c r="K61" s="355"/>
      <c r="L61" s="356"/>
      <c r="M61" s="355"/>
      <c r="N61" s="356"/>
      <c r="O61" s="355"/>
      <c r="P61" s="357"/>
      <c r="Q61" s="337">
        <f t="shared" si="10"/>
        <v>0</v>
      </c>
      <c r="R61" s="337">
        <f t="shared" si="15"/>
        <v>0</v>
      </c>
      <c r="S61" s="338">
        <f t="shared" si="11"/>
        <v>0</v>
      </c>
      <c r="T61" s="339">
        <f t="shared" si="12"/>
        <v>61</v>
      </c>
      <c r="U61" s="339">
        <f t="shared" si="6"/>
        <v>0</v>
      </c>
      <c r="V61" s="339">
        <f t="shared" si="13"/>
        <v>0</v>
      </c>
      <c r="W61" s="360"/>
      <c r="X61" s="358"/>
      <c r="Y61" s="359"/>
      <c r="Z61" s="343"/>
      <c r="AA61" s="356"/>
      <c r="AB61" s="344"/>
      <c r="AC61" s="353"/>
      <c r="AD61" s="361"/>
      <c r="AE61" s="71">
        <f t="shared" si="14"/>
        <v>0</v>
      </c>
      <c r="AF61" s="348"/>
      <c r="AG61" s="351"/>
      <c r="AH61" s="352"/>
      <c r="AI61" s="56">
        <f t="shared" si="8"/>
        <v>0</v>
      </c>
      <c r="AJ61" s="57">
        <v>54</v>
      </c>
      <c r="AK61" s="58">
        <f t="shared" si="3"/>
        <v>1.5416666666666667E-2</v>
      </c>
      <c r="AP61" s="82"/>
    </row>
    <row r="62" spans="3:42" x14ac:dyDescent="0.3">
      <c r="C62" s="348"/>
      <c r="D62" s="341"/>
      <c r="E62" s="335"/>
      <c r="F62" s="336"/>
      <c r="G62" s="349"/>
      <c r="H62" s="350"/>
      <c r="I62" s="350"/>
      <c r="J62" s="354"/>
      <c r="K62" s="355"/>
      <c r="L62" s="356"/>
      <c r="M62" s="355"/>
      <c r="N62" s="356"/>
      <c r="O62" s="355"/>
      <c r="P62" s="357"/>
      <c r="Q62" s="337">
        <f t="shared" si="10"/>
        <v>0</v>
      </c>
      <c r="R62" s="337">
        <f t="shared" si="15"/>
        <v>0</v>
      </c>
      <c r="S62" s="338">
        <f t="shared" si="11"/>
        <v>0</v>
      </c>
      <c r="T62" s="339">
        <f t="shared" si="12"/>
        <v>61</v>
      </c>
      <c r="U62" s="339">
        <f t="shared" si="6"/>
        <v>0</v>
      </c>
      <c r="V62" s="339">
        <f t="shared" si="13"/>
        <v>0</v>
      </c>
      <c r="W62" s="360"/>
      <c r="X62" s="358"/>
      <c r="Y62" s="359"/>
      <c r="Z62" s="343"/>
      <c r="AA62" s="356"/>
      <c r="AB62" s="344"/>
      <c r="AC62" s="353"/>
      <c r="AD62" s="361"/>
      <c r="AE62" s="71">
        <f t="shared" si="14"/>
        <v>0</v>
      </c>
      <c r="AF62" s="348"/>
      <c r="AG62" s="351"/>
      <c r="AH62" s="352"/>
      <c r="AI62" s="56">
        <f t="shared" si="8"/>
        <v>0</v>
      </c>
      <c r="AJ62" s="57">
        <v>55</v>
      </c>
      <c r="AK62" s="58">
        <f t="shared" si="3"/>
        <v>1.5416666666666667E-2</v>
      </c>
      <c r="AP62" s="82"/>
    </row>
    <row r="63" spans="3:42" x14ac:dyDescent="0.3">
      <c r="C63" s="348"/>
      <c r="D63" s="341"/>
      <c r="E63" s="335"/>
      <c r="F63" s="336"/>
      <c r="G63" s="349"/>
      <c r="H63" s="350"/>
      <c r="I63" s="350"/>
      <c r="J63" s="354"/>
      <c r="K63" s="355"/>
      <c r="L63" s="356"/>
      <c r="M63" s="355"/>
      <c r="N63" s="356"/>
      <c r="O63" s="355"/>
      <c r="P63" s="357"/>
      <c r="Q63" s="337">
        <f t="shared" si="10"/>
        <v>0</v>
      </c>
      <c r="R63" s="337">
        <f t="shared" si="15"/>
        <v>0</v>
      </c>
      <c r="S63" s="338">
        <f t="shared" si="11"/>
        <v>0</v>
      </c>
      <c r="T63" s="339">
        <f t="shared" si="12"/>
        <v>61</v>
      </c>
      <c r="U63" s="339">
        <f t="shared" si="6"/>
        <v>0</v>
      </c>
      <c r="V63" s="339">
        <f t="shared" si="13"/>
        <v>0</v>
      </c>
      <c r="W63" s="360"/>
      <c r="X63" s="358"/>
      <c r="Y63" s="359"/>
      <c r="Z63" s="343"/>
      <c r="AA63" s="356"/>
      <c r="AB63" s="344"/>
      <c r="AC63" s="353"/>
      <c r="AD63" s="361"/>
      <c r="AE63" s="71">
        <f t="shared" si="14"/>
        <v>0</v>
      </c>
      <c r="AF63" s="348"/>
      <c r="AG63" s="351"/>
      <c r="AH63" s="352"/>
      <c r="AI63" s="56">
        <f t="shared" si="8"/>
        <v>0</v>
      </c>
      <c r="AJ63" s="57">
        <v>56</v>
      </c>
      <c r="AK63" s="58">
        <f t="shared" si="3"/>
        <v>1.5416666666666667E-2</v>
      </c>
      <c r="AP63" s="82"/>
    </row>
    <row r="64" spans="3:42" x14ac:dyDescent="0.3">
      <c r="C64" s="348"/>
      <c r="D64" s="341"/>
      <c r="E64" s="335"/>
      <c r="F64" s="336"/>
      <c r="G64" s="349"/>
      <c r="H64" s="350"/>
      <c r="I64" s="350"/>
      <c r="J64" s="354"/>
      <c r="K64" s="355"/>
      <c r="L64" s="356"/>
      <c r="M64" s="355"/>
      <c r="N64" s="356"/>
      <c r="O64" s="355"/>
      <c r="P64" s="357"/>
      <c r="Q64" s="337">
        <f t="shared" si="10"/>
        <v>0</v>
      </c>
      <c r="R64" s="337">
        <f t="shared" si="15"/>
        <v>0</v>
      </c>
      <c r="S64" s="338">
        <f t="shared" si="11"/>
        <v>0</v>
      </c>
      <c r="T64" s="339">
        <f t="shared" si="12"/>
        <v>61</v>
      </c>
      <c r="U64" s="339">
        <f t="shared" si="6"/>
        <v>0</v>
      </c>
      <c r="V64" s="339">
        <f t="shared" si="13"/>
        <v>0</v>
      </c>
      <c r="W64" s="360"/>
      <c r="X64" s="358"/>
      <c r="Y64" s="359"/>
      <c r="Z64" s="343"/>
      <c r="AA64" s="356"/>
      <c r="AB64" s="344"/>
      <c r="AC64" s="353"/>
      <c r="AD64" s="361"/>
      <c r="AE64" s="71">
        <f t="shared" si="14"/>
        <v>0</v>
      </c>
      <c r="AF64" s="348"/>
      <c r="AG64" s="351"/>
      <c r="AH64" s="352"/>
      <c r="AI64" s="56">
        <f t="shared" si="8"/>
        <v>0</v>
      </c>
      <c r="AJ64" s="57">
        <v>57</v>
      </c>
      <c r="AK64" s="58">
        <f t="shared" si="3"/>
        <v>1.5416666666666667E-2</v>
      </c>
      <c r="AP64" s="82"/>
    </row>
    <row r="65" spans="3:42" x14ac:dyDescent="0.3">
      <c r="C65" s="348"/>
      <c r="D65" s="341"/>
      <c r="E65" s="335"/>
      <c r="F65" s="336"/>
      <c r="G65" s="349"/>
      <c r="H65" s="350"/>
      <c r="I65" s="350"/>
      <c r="J65" s="354"/>
      <c r="K65" s="355"/>
      <c r="L65" s="356"/>
      <c r="M65" s="355"/>
      <c r="N65" s="356"/>
      <c r="O65" s="355"/>
      <c r="P65" s="357"/>
      <c r="Q65" s="337">
        <f t="shared" si="10"/>
        <v>0</v>
      </c>
      <c r="R65" s="337">
        <f t="shared" si="15"/>
        <v>0</v>
      </c>
      <c r="S65" s="338">
        <f t="shared" si="11"/>
        <v>0</v>
      </c>
      <c r="T65" s="339">
        <f t="shared" si="12"/>
        <v>61</v>
      </c>
      <c r="U65" s="339">
        <f t="shared" si="6"/>
        <v>0</v>
      </c>
      <c r="V65" s="339">
        <f t="shared" si="13"/>
        <v>0</v>
      </c>
      <c r="W65" s="360"/>
      <c r="X65" s="358"/>
      <c r="Y65" s="359"/>
      <c r="Z65" s="343"/>
      <c r="AA65" s="356"/>
      <c r="AB65" s="344"/>
      <c r="AC65" s="353"/>
      <c r="AD65" s="361"/>
      <c r="AE65" s="71">
        <f t="shared" si="14"/>
        <v>0</v>
      </c>
      <c r="AF65" s="348"/>
      <c r="AG65" s="351"/>
      <c r="AH65" s="352"/>
      <c r="AI65" s="56">
        <f t="shared" si="8"/>
        <v>0</v>
      </c>
      <c r="AJ65" s="57">
        <v>58</v>
      </c>
      <c r="AK65" s="58">
        <f t="shared" si="3"/>
        <v>1.5416666666666667E-2</v>
      </c>
      <c r="AP65" s="82"/>
    </row>
    <row r="66" spans="3:42" x14ac:dyDescent="0.3">
      <c r="C66" s="348"/>
      <c r="D66" s="341"/>
      <c r="E66" s="335"/>
      <c r="F66" s="336"/>
      <c r="G66" s="349"/>
      <c r="H66" s="350"/>
      <c r="I66" s="350"/>
      <c r="J66" s="354"/>
      <c r="K66" s="355"/>
      <c r="L66" s="356"/>
      <c r="M66" s="355"/>
      <c r="N66" s="356"/>
      <c r="O66" s="355"/>
      <c r="P66" s="357"/>
      <c r="Q66" s="337">
        <f t="shared" si="10"/>
        <v>0</v>
      </c>
      <c r="R66" s="337">
        <f t="shared" si="15"/>
        <v>0</v>
      </c>
      <c r="S66" s="338">
        <f t="shared" si="11"/>
        <v>0</v>
      </c>
      <c r="T66" s="339">
        <f t="shared" si="12"/>
        <v>61</v>
      </c>
      <c r="U66" s="339">
        <f t="shared" si="6"/>
        <v>0</v>
      </c>
      <c r="V66" s="339">
        <f t="shared" si="13"/>
        <v>0</v>
      </c>
      <c r="W66" s="360"/>
      <c r="X66" s="358"/>
      <c r="Y66" s="359"/>
      <c r="Z66" s="343"/>
      <c r="AA66" s="356"/>
      <c r="AB66" s="344"/>
      <c r="AC66" s="353"/>
      <c r="AD66" s="361"/>
      <c r="AE66" s="71">
        <f t="shared" si="14"/>
        <v>0</v>
      </c>
      <c r="AF66" s="348"/>
      <c r="AG66" s="351"/>
      <c r="AH66" s="352"/>
      <c r="AI66" s="56">
        <f t="shared" si="8"/>
        <v>0</v>
      </c>
      <c r="AJ66" s="57">
        <v>59</v>
      </c>
      <c r="AK66" s="58">
        <f t="shared" si="3"/>
        <v>1.5416666666666667E-2</v>
      </c>
      <c r="AP66" s="82"/>
    </row>
    <row r="67" spans="3:42" x14ac:dyDescent="0.3">
      <c r="C67" s="362"/>
      <c r="D67" s="363"/>
      <c r="E67" s="364"/>
      <c r="F67" s="365"/>
      <c r="G67" s="366"/>
      <c r="H67" s="367"/>
      <c r="I67" s="367"/>
      <c r="J67" s="368"/>
      <c r="K67" s="364"/>
      <c r="L67" s="369"/>
      <c r="M67" s="364"/>
      <c r="N67" s="369"/>
      <c r="O67" s="364"/>
      <c r="P67" s="365"/>
      <c r="Q67" s="337">
        <f t="shared" si="10"/>
        <v>0</v>
      </c>
      <c r="R67" s="337">
        <f t="shared" si="15"/>
        <v>0</v>
      </c>
      <c r="S67" s="338">
        <f t="shared" si="11"/>
        <v>0</v>
      </c>
      <c r="T67" s="339">
        <f t="shared" si="12"/>
        <v>61</v>
      </c>
      <c r="U67" s="339">
        <f t="shared" si="6"/>
        <v>0</v>
      </c>
      <c r="V67" s="339">
        <f t="shared" si="13"/>
        <v>0</v>
      </c>
      <c r="W67" s="370"/>
      <c r="X67" s="371"/>
      <c r="Y67" s="372"/>
      <c r="Z67" s="370"/>
      <c r="AA67" s="369"/>
      <c r="AB67" s="371"/>
      <c r="AC67" s="373"/>
      <c r="AD67" s="374"/>
      <c r="AE67" s="71">
        <f t="shared" si="14"/>
        <v>0</v>
      </c>
      <c r="AF67" s="362"/>
      <c r="AG67" s="375"/>
      <c r="AH67" s="376"/>
      <c r="AI67" s="56">
        <f t="shared" si="8"/>
        <v>0</v>
      </c>
      <c r="AJ67" s="57">
        <v>60</v>
      </c>
      <c r="AK67" s="58">
        <f t="shared" si="3"/>
        <v>1.5416666666666667E-2</v>
      </c>
      <c r="AP67" s="82"/>
    </row>
  </sheetData>
  <sheetProtection algorithmName="SHA-512" hashValue="PCdiSa+Zp5IJ0tKkbXNefOSXho0x5TFpXJA8uf0xHMovFAUBAe3/acZdCIU1vxiwLWzV3VvrL0twnZMap/DPcg==" saltValue="onLcycM6LRRvurCTtdpjpA==" spinCount="100000" sheet="1" objects="1" scenarios="1" selectLockedCells="1"/>
  <mergeCells count="64">
    <mergeCell ref="AJ31:AJ32"/>
    <mergeCell ref="AK31:AK32"/>
    <mergeCell ref="AE31:AE32"/>
    <mergeCell ref="AF31:AF32"/>
    <mergeCell ref="AG31:AG32"/>
    <mergeCell ref="AH31:AH32"/>
    <mergeCell ref="AI31:AI32"/>
    <mergeCell ref="Z31:Z32"/>
    <mergeCell ref="AA31:AA32"/>
    <mergeCell ref="AB31:AB32"/>
    <mergeCell ref="AC31:AC32"/>
    <mergeCell ref="AD31:AD32"/>
    <mergeCell ref="U31:U32"/>
    <mergeCell ref="V31:V32"/>
    <mergeCell ref="W31:W32"/>
    <mergeCell ref="X31:X32"/>
    <mergeCell ref="Y31:Y32"/>
    <mergeCell ref="P31:P32"/>
    <mergeCell ref="Q31:Q32"/>
    <mergeCell ref="R31:R32"/>
    <mergeCell ref="S31:S32"/>
    <mergeCell ref="T31:T32"/>
    <mergeCell ref="Z4:AD4"/>
    <mergeCell ref="AL4:AM4"/>
    <mergeCell ref="AN4:AO4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Q5:S5"/>
    <mergeCell ref="T5:V5"/>
    <mergeCell ref="X5:Y5"/>
    <mergeCell ref="AN18:AO18"/>
    <mergeCell ref="C3:F3"/>
    <mergeCell ref="C4:I4"/>
    <mergeCell ref="J4:P4"/>
    <mergeCell ref="D5:E5"/>
    <mergeCell ref="F5:I5"/>
    <mergeCell ref="L5:M5"/>
    <mergeCell ref="N5:O5"/>
    <mergeCell ref="AF4:AH4"/>
    <mergeCell ref="AC5:AD5"/>
    <mergeCell ref="AL6:AM6"/>
    <mergeCell ref="AN6:AO6"/>
    <mergeCell ref="W4:Y4"/>
    <mergeCell ref="AL19:AM19"/>
    <mergeCell ref="AL15:AM15"/>
    <mergeCell ref="AQ4:AW4"/>
    <mergeCell ref="AU5:AU6"/>
    <mergeCell ref="AV5:AV6"/>
    <mergeCell ref="AL11:AM11"/>
    <mergeCell ref="AT5:AT6"/>
    <mergeCell ref="AR5:AR6"/>
    <mergeCell ref="AS5:AS6"/>
    <mergeCell ref="AN13:AO13"/>
  </mergeCells>
  <conditionalFormatting sqref="C8:C30 C33:C67">
    <cfRule type="expression" dxfId="22" priority="28">
      <formula>IF(AND(NOT(ISBLANK(C8)),MAX(C9:$C$67)&gt;0,C8&gt;=MAX(C9:$C$67)),TRUE,FALSE)</formula>
    </cfRule>
  </conditionalFormatting>
  <conditionalFormatting sqref="C31:C32">
    <cfRule type="expression" dxfId="21" priority="30">
      <formula>IF(AND(NOT(ISBLANK(C31)),MAX(C33:$C$67)&gt;0,C31&gt;=MAX(C33:$C$67)),TRUE,FALSE)</formula>
    </cfRule>
  </conditionalFormatting>
  <conditionalFormatting sqref="F8:F30 F33:F67">
    <cfRule type="expression" dxfId="20" priority="31">
      <formula>IF(AND(NOT(ISBLANK(F8)),MAX(F9:$F$67)&gt;0,F8&gt;=MAX(F9:$F$67)),TRUE,FALSE)</formula>
    </cfRule>
  </conditionalFormatting>
  <conditionalFormatting sqref="F31">
    <cfRule type="expression" dxfId="19" priority="33">
      <formula>IF(AND(NOT(ISBLANK(F31)),MAX(F33:$F$67)&gt;0,F31&gt;=MAX(F33:$F$67)),TRUE,FALSE)</formula>
    </cfRule>
  </conditionalFormatting>
  <conditionalFormatting sqref="L7:L67">
    <cfRule type="expression" dxfId="18" priority="8">
      <formula>IF(AND(NOT(ISBLANK(N7)),N7&lt;=L7),TRUE,FALSE)</formula>
    </cfRule>
  </conditionalFormatting>
  <conditionalFormatting sqref="N7:N67">
    <cfRule type="expression" dxfId="17" priority="9">
      <formula>IF(AND(NOT(ISBLANK(N7)),N7&lt;=L7),TRUE,FALSE)</formula>
    </cfRule>
  </conditionalFormatting>
  <conditionalFormatting sqref="P7:P67">
    <cfRule type="expression" dxfId="16" priority="25">
      <formula>IF(AND(P7&lt;&gt;0,OR(J7="Land",K7="Land")),TRUE,FALSE)</formula>
    </cfRule>
  </conditionalFormatting>
  <conditionalFormatting sqref="AF7:AF67">
    <cfRule type="expression" dxfId="15" priority="34">
      <formula>IF(AND(NOT(ISBLANK(AF7)),MAX(AF8:$AF$67)&gt;0,AF7&gt;=MAX(AF8:$AF$67)),TRUE,FALSE)</formula>
    </cfRule>
  </conditionalFormatting>
  <conditionalFormatting sqref="AG9:AG67">
    <cfRule type="expression" dxfId="14" priority="12">
      <formula>IF(AND(AH9&gt;0,OR(AG9=0, ISBLANK(AG9))),TRUE,FALSE)</formula>
    </cfRule>
  </conditionalFormatting>
  <conditionalFormatting sqref="AM7:AM8 AM10">
    <cfRule type="expression" dxfId="13" priority="6">
      <formula>IF(AND(AM7=0,ISBLANK(AM7)),TRUE,FALSE)</formula>
    </cfRule>
  </conditionalFormatting>
  <conditionalFormatting sqref="AM8">
    <cfRule type="expression" dxfId="12" priority="27">
      <formula>IF($AM$8&lt;$AM$21,TRUE,FALSE)</formula>
    </cfRule>
  </conditionalFormatting>
  <conditionalFormatting sqref="AM9">
    <cfRule type="expression" dxfId="11" priority="1">
      <formula>IF(AND(AM9=0,ISBLANK(AM9)),TRUE,FALSE)</formula>
    </cfRule>
  </conditionalFormatting>
  <conditionalFormatting sqref="AM12:AM13 AO15">
    <cfRule type="expression" dxfId="10" priority="20">
      <formula>IF(AND(AM12=0,ISBLANK(AM12)),TRUE,FALSE)</formula>
    </cfRule>
  </conditionalFormatting>
  <conditionalFormatting sqref="AM14">
    <cfRule type="expression" dxfId="9" priority="5">
      <formula>IF(AND(AM14=0,ISBLANK(AM14)),TRUE,FALSE)</formula>
    </cfRule>
  </conditionalFormatting>
  <conditionalFormatting sqref="AM16:AM18">
    <cfRule type="expression" dxfId="8" priority="4">
      <formula>IF(AND(AM16=0,ISBLANK(AM16)),TRUE,FALSE)</formula>
    </cfRule>
  </conditionalFormatting>
  <conditionalFormatting sqref="AM20:AM22">
    <cfRule type="expression" dxfId="7" priority="18">
      <formula>IF(AND(AM20=0,ISBLANK(AM20)),TRUE,FALSE)</formula>
    </cfRule>
  </conditionalFormatting>
  <conditionalFormatting sqref="AM21">
    <cfRule type="expression" dxfId="6" priority="10">
      <formula>IF($AM$21&gt;=$AM$8,TRUE,FALSE)</formula>
    </cfRule>
  </conditionalFormatting>
  <conditionalFormatting sqref="AO7:AO12">
    <cfRule type="expression" dxfId="5" priority="2">
      <formula>IF(AND(AO7=0,ISBLANK(AO7)),TRUE,FALSE)</formula>
    </cfRule>
  </conditionalFormatting>
  <conditionalFormatting sqref="AO14 AO16:AO17">
    <cfRule type="expression" dxfId="4" priority="21">
      <formula>IF(AND(AO14=0,ISBLANK(AO14)),TRUE,FALSE)</formula>
    </cfRule>
  </conditionalFormatting>
  <conditionalFormatting sqref="AO19:AO21">
    <cfRule type="expression" dxfId="3" priority="7">
      <formula>IF(AND(AO19=0,ISBLANK(AO19)),TRUE,FALSE)</formula>
    </cfRule>
  </conditionalFormatting>
  <conditionalFormatting sqref="AO22">
    <cfRule type="expression" dxfId="2" priority="3">
      <formula>IF(AND(AO22=0,ISBLANK(AO22)),TRUE,FALSE)</formula>
    </cfRule>
  </conditionalFormatting>
  <dataValidations count="24">
    <dataValidation type="custom" showInputMessage="1" showErrorMessage="1" error="Month out of order" sqref="AF8 AF30:AF32 AF34:AF67 AF24 AF22 AF20 AF18 AF16 AF14 AF12 AF10 AF26 AF28" xr:uid="{168A626C-2124-4EFF-A041-6EE01670A148}">
      <formula1>IF(OR(AF7&lt;1,AF8=0,AF8&gt;60,AF8&lt;=MAX(AF$7:AF7)),FALSE,TRUE)</formula1>
    </dataValidation>
    <dataValidation type="custom" showInputMessage="1" showErrorMessage="1" error="Land does not depreciate; leave empty" sqref="P33:P67 P7:P31" xr:uid="{79F4DAB5-89D9-4E6B-8FFA-D8644E036E8C}">
      <formula1>IF(OR(J7="land",J7="Land", K7="land", K7="Land"),FALSE,TRUE)</formula1>
    </dataValidation>
    <dataValidation type="custom" showErrorMessage="1" error="Land does not depreciate_x000a_Clear &quot;Depreciation Months&quot; and re-enter" sqref="J33:J67 J7:J31" xr:uid="{85296D84-AD83-4B28-AF90-097FC235FABC}">
      <formula1>IF(AND(P7&lt;&gt;0,J7="Land"),FALSE,TRUE)</formula1>
    </dataValidation>
    <dataValidation type="decimal" operator="greaterThan" allowBlank="1" showInputMessage="1" showErrorMessage="1" error="Enter a loan spread" sqref="AJ8:AJ31 AJ33:AJ67 AH9:AH67" xr:uid="{F0458993-046D-4DCA-8CAC-BD24419B9222}">
      <formula1>0</formula1>
    </dataValidation>
    <dataValidation type="decimal" operator="greaterThan" allowBlank="1" showInputMessage="1" showErrorMessage="1" error="Enter a prime rate" sqref="AG9:AG67" xr:uid="{7DE07BE8-C88A-4439-8859-B7891489EF92}">
      <formula1>0</formula1>
    </dataValidation>
    <dataValidation type="custom" allowBlank="1" showInputMessage="1" showErrorMessage="1" error="This value cannot be changed" sqref="AF7" xr:uid="{CF8416A4-2029-4C25-B230-A4C15D2B2075}">
      <formula1>IF(AF7&lt;&gt;1,FALSE,TRUE)</formula1>
    </dataValidation>
    <dataValidation type="custom" allowBlank="1" showInputMessage="1" showErrorMessage="1" error="This value cannot be changed" sqref="C7 F7" xr:uid="{F43B5C7C-3EA4-4F92-A4F7-A60091703885}">
      <formula1>IF(C7&lt;&gt;0,FALSE,TRUE)</formula1>
    </dataValidation>
    <dataValidation type="custom" showInputMessage="1" showErrorMessage="1" error="Sale must occur before retirement" sqref="AM21" xr:uid="{5F18E23D-1525-459E-B895-E8CB69DFB76E}">
      <formula1>IF(AM21&gt;=AM8,FALSE,TRUE)</formula1>
    </dataValidation>
    <dataValidation type="custom" allowBlank="1" showInputMessage="1" showErrorMessage="1" error="Month out of order" sqref="AF9 AF29 AF25 AF23 AF21 AF19 AF17 AF15 AF13 AF11 AF27 C8:C31 C34:C67" xr:uid="{646FB5E7-5977-41CD-9D22-DFBB2D4BD6AA}">
      <formula1>IF(OR(C8=0,C8&gt;60,C8&lt;=MAX(C$7:C7)),FALSE,TRUE)</formula1>
    </dataValidation>
    <dataValidation type="decimal" operator="greaterThanOrEqual" allowBlank="1" showInputMessage="1" showErrorMessage="1" error="Enter an increase in annual spend &gt;=0" sqref="Y8" xr:uid="{9B5D9172-75C4-426C-A150-53615A57ECF0}">
      <formula1>0</formula1>
    </dataValidation>
    <dataValidation type="decimal" operator="greaterThanOrEqual" allowBlank="1" showInputMessage="1" showErrorMessage="1" error="Enter a bonus percent of salary &gt;=0" sqref="AE33:AE67 AE7:AE31" xr:uid="{7F77647C-B054-4361-B4BB-C4B3F5A2D334}">
      <formula1>0</formula1>
    </dataValidation>
    <dataValidation type="decimal" operator="greaterThanOrEqual" allowBlank="1" showInputMessage="1" showErrorMessage="1" error="Enter an increase in annual spend &gt;= 0" sqref="Y7 Y9:Y67" xr:uid="{93739BAA-C691-4D37-9F9E-44EF5ACC1BC5}">
      <formula1>0</formula1>
    </dataValidation>
    <dataValidation type="decimal" operator="greaterThanOrEqual" allowBlank="1" showInputMessage="1" showErrorMessage="1" error="Enter an expense amount &gt;= 0 (in thousands)" sqref="X7:X67" xr:uid="{C0A66826-CC85-43EF-A14D-FC6A14D6006B}">
      <formula1>0</formula1>
    </dataValidation>
    <dataValidation type="decimal" operator="greaterThanOrEqual" allowBlank="1" showInputMessage="1" showErrorMessage="1" error="Enter a purchase amount &gt;=1 (in thousands)" sqref="M33:M67 M7:M31" xr:uid="{FCA972E5-8882-42AF-9E0F-876ACA5A4259}">
      <formula1>1</formula1>
    </dataValidation>
    <dataValidation type="decimal" operator="greaterThanOrEqual" allowBlank="1" showInputMessage="1" showErrorMessage="1" error="Enter a dollar amount in thousands &gt;= 0" sqref="D33:E67 D7:E31 G7:H31 G33:H67" xr:uid="{04A016A5-BDE8-499C-9A3C-775EFE682E40}">
      <formula1>0</formula1>
    </dataValidation>
    <dataValidation type="whole" allowBlank="1" showInputMessage="1" showErrorMessage="1" error="Enter a purchase month number between 1 and 60" sqref="L7:L67" xr:uid="{512695C9-4401-4893-8CAD-560CDF841C95}">
      <formula1>1</formula1>
      <formula2>60</formula2>
    </dataValidation>
    <dataValidation type="list" errorStyle="warning" showErrorMessage="1" error="Please select from dropdown menu" sqref="K7:K67" xr:uid="{2B07FE76-E945-41B2-8709-5F7D641436A1}">
      <formula1>"Facility,Equip,Fixture,Intang,Land,Other"</formula1>
    </dataValidation>
    <dataValidation type="whole" allowBlank="1" showInputMessage="1" showErrorMessage="1" error="Enter a month between 1 and 60" sqref="F8:F31 F33:F67" xr:uid="{8AF08B79-F314-4A93-9317-B05525D4D34E}">
      <formula1>1</formula1>
      <formula2>60</formula2>
    </dataValidation>
    <dataValidation type="decimal" operator="greaterThan" allowBlank="1" showInputMessage="1" showErrorMessage="1" error="Enter an interest rate" sqref="AG7:AK8 AI9:AK31 AI33:AK67" xr:uid="{5BD0A5B8-CDA6-4991-8598-E77CB49AFE80}">
      <formula1>0</formula1>
    </dataValidation>
    <dataValidation type="custom" allowBlank="1" showInputMessage="1" showErrorMessage="1" error="Month out of order" sqref="N33:N67 N7:N31" xr:uid="{ADADA731-AEF7-4A53-AAFF-575353EC611D}">
      <formula1>IF(  N7&gt;0,  IF(N7&lt;=L7, FALSE,TRUE),  TRUE)</formula1>
    </dataValidation>
    <dataValidation type="custom" allowBlank="1" showInputMessage="1" showErrorMessage="1" error="Term must exceed sale month" sqref="AM8" xr:uid="{70CCFE4D-1CD2-4F10-A7B9-F2AC98E2499F}">
      <formula1>IF(AM8&lt;AM21,FALSE,TRUE)</formula1>
    </dataValidation>
    <dataValidation type="custom" showInputMessage="1" showErrorMessage="1" error="Month out of order" sqref="AF33" xr:uid="{B608B264-DDA4-4728-A6C2-E9095EDDBCA1}">
      <formula1>IF(OR(AF31&lt;1,AF33=0,AF33&gt;60,AF33&lt;=MAX(AF$7:AF31)),FALSE,TRUE)</formula1>
    </dataValidation>
    <dataValidation type="custom" allowBlank="1" showInputMessage="1" showErrorMessage="1" error="Month out of order" sqref="C33" xr:uid="{D971F30B-2773-43B4-B099-B4100FB4AE21}">
      <formula1>IF(OR(C33=0,C33&gt;60,C33&lt;=MAX(C$7:C31)),FALSE,TRUE)</formula1>
    </dataValidation>
    <dataValidation type="custom" allowBlank="1" showInputMessage="1" showErrorMessage="1" error="This value cannot be changed" sqref="I7" xr:uid="{D5AAA026-3F5E-4DE9-A916-9F90431474D5}">
      <formula1>IF(I7&lt;&gt;0, FALSE,TRUE)</formula1>
    </dataValidation>
  </dataValidations>
  <printOptions horizontalCentered="1"/>
  <pageMargins left="0.5" right="0.5" top="0.75" bottom="0.5" header="0.3" footer="0.3"/>
  <pageSetup scale="75" fitToWidth="2" orientation="portrait" r:id="rId1"/>
  <headerFooter scaleWithDoc="0" alignWithMargins="0">
    <oddFooter>&amp;L&amp;10User Assumptions&amp;R&amp;10Updated &amp;D</oddFooter>
  </headerFooter>
  <colBreaks count="1" manualBreakCount="1">
    <brk id="31" min="2" max="67" man="1"/>
  </col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AEB20-9DA6-433B-AC03-AEF6255BA029}">
  <sheetPr>
    <tabColor rgb="FFC6E0B4"/>
    <pageSetUpPr fitToPage="1"/>
  </sheetPr>
  <dimension ref="A1:BR30"/>
  <sheetViews>
    <sheetView showGridLines="0" showRowColHeaders="0" showZeros="0" zoomScaleNormal="100" zoomScaleSheetLayoutView="100" workbookViewId="0">
      <pane xSplit="3" ySplit="3" topLeftCell="D4" activePane="bottomRight" state="frozen"/>
      <selection activeCell="F8" sqref="F8"/>
      <selection pane="topRight" activeCell="F8" sqref="F8"/>
      <selection pane="bottomLeft" activeCell="F8" sqref="F8"/>
      <selection pane="bottomRight" activeCell="H31" sqref="H31"/>
    </sheetView>
  </sheetViews>
  <sheetFormatPr defaultColWidth="8.88671875" defaultRowHeight="13.2" x14ac:dyDescent="0.3"/>
  <cols>
    <col min="1" max="1" width="3" style="6" customWidth="1"/>
    <col min="2" max="2" width="21.6640625" style="104" customWidth="1"/>
    <col min="3" max="4" width="0.6640625" style="139" customWidth="1"/>
    <col min="5" max="9" width="8.33203125" style="105" customWidth="1"/>
    <col min="10" max="10" width="2.21875" style="105" customWidth="1"/>
    <col min="11" max="21" width="8.33203125" style="105" customWidth="1"/>
    <col min="22" max="22" width="8.33203125" style="262" customWidth="1"/>
    <col min="23" max="70" width="8.33203125" style="105" customWidth="1"/>
    <col min="71" max="16384" width="8.88671875" style="105"/>
  </cols>
  <sheetData>
    <row r="1" spans="1:70" s="6" customFormat="1" ht="10.199999999999999" x14ac:dyDescent="0.2">
      <c r="A1" s="1" t="s">
        <v>0</v>
      </c>
      <c r="B1" s="89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57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</row>
    <row r="2" spans="1:70" s="5" customFormat="1" ht="22.8" customHeight="1" x14ac:dyDescent="0.3">
      <c r="A2" s="3"/>
      <c r="B2" s="4"/>
      <c r="C2" s="211"/>
      <c r="D2" s="211"/>
      <c r="V2" s="255"/>
    </row>
    <row r="3" spans="1:70" s="168" customFormat="1" ht="21" x14ac:dyDescent="0.4">
      <c r="A3" s="90"/>
      <c r="B3" s="91" t="s">
        <v>7</v>
      </c>
      <c r="C3" s="90"/>
      <c r="D3" s="90"/>
      <c r="E3" s="165">
        <v>1</v>
      </c>
      <c r="F3" s="165">
        <v>2</v>
      </c>
      <c r="G3" s="165">
        <v>3</v>
      </c>
      <c r="H3" s="165">
        <v>4</v>
      </c>
      <c r="I3" s="165">
        <v>5</v>
      </c>
      <c r="J3" s="90"/>
      <c r="K3" s="166">
        <v>1</v>
      </c>
      <c r="L3" s="166">
        <v>2</v>
      </c>
      <c r="M3" s="166">
        <v>3</v>
      </c>
      <c r="N3" s="166">
        <v>4</v>
      </c>
      <c r="O3" s="166">
        <v>5</v>
      </c>
      <c r="P3" s="166">
        <v>6</v>
      </c>
      <c r="Q3" s="166">
        <v>7</v>
      </c>
      <c r="R3" s="166">
        <v>8</v>
      </c>
      <c r="S3" s="166">
        <v>9</v>
      </c>
      <c r="T3" s="166">
        <v>10</v>
      </c>
      <c r="U3" s="166">
        <v>11</v>
      </c>
      <c r="V3" s="167">
        <v>12</v>
      </c>
      <c r="W3" s="166">
        <v>13</v>
      </c>
      <c r="X3" s="166">
        <v>14</v>
      </c>
      <c r="Y3" s="166">
        <v>15</v>
      </c>
      <c r="Z3" s="166">
        <v>16</v>
      </c>
      <c r="AA3" s="166">
        <v>17</v>
      </c>
      <c r="AB3" s="166">
        <v>18</v>
      </c>
      <c r="AC3" s="166">
        <v>19</v>
      </c>
      <c r="AD3" s="166">
        <v>20</v>
      </c>
      <c r="AE3" s="166">
        <v>21</v>
      </c>
      <c r="AF3" s="166">
        <v>22</v>
      </c>
      <c r="AG3" s="166">
        <v>23</v>
      </c>
      <c r="AH3" s="167">
        <v>24</v>
      </c>
      <c r="AI3" s="166">
        <v>25</v>
      </c>
      <c r="AJ3" s="166">
        <v>26</v>
      </c>
      <c r="AK3" s="166">
        <v>27</v>
      </c>
      <c r="AL3" s="166">
        <v>28</v>
      </c>
      <c r="AM3" s="166">
        <v>29</v>
      </c>
      <c r="AN3" s="166">
        <v>30</v>
      </c>
      <c r="AO3" s="166">
        <v>31</v>
      </c>
      <c r="AP3" s="166">
        <v>32</v>
      </c>
      <c r="AQ3" s="166">
        <v>33</v>
      </c>
      <c r="AR3" s="166">
        <v>34</v>
      </c>
      <c r="AS3" s="166">
        <v>35</v>
      </c>
      <c r="AT3" s="167">
        <v>36</v>
      </c>
      <c r="AU3" s="166">
        <v>37</v>
      </c>
      <c r="AV3" s="166">
        <v>38</v>
      </c>
      <c r="AW3" s="166">
        <v>39</v>
      </c>
      <c r="AX3" s="166">
        <v>40</v>
      </c>
      <c r="AY3" s="166">
        <v>41</v>
      </c>
      <c r="AZ3" s="166">
        <v>42</v>
      </c>
      <c r="BA3" s="166">
        <v>43</v>
      </c>
      <c r="BB3" s="166">
        <v>44</v>
      </c>
      <c r="BC3" s="166">
        <v>45</v>
      </c>
      <c r="BD3" s="166">
        <v>46</v>
      </c>
      <c r="BE3" s="166">
        <v>47</v>
      </c>
      <c r="BF3" s="167">
        <v>48</v>
      </c>
      <c r="BG3" s="166">
        <v>49</v>
      </c>
      <c r="BH3" s="166">
        <v>50</v>
      </c>
      <c r="BI3" s="166">
        <v>51</v>
      </c>
      <c r="BJ3" s="166">
        <v>52</v>
      </c>
      <c r="BK3" s="166">
        <v>53</v>
      </c>
      <c r="BL3" s="166">
        <v>54</v>
      </c>
      <c r="BM3" s="166">
        <v>55</v>
      </c>
      <c r="BN3" s="166">
        <v>56</v>
      </c>
      <c r="BO3" s="166">
        <v>57</v>
      </c>
      <c r="BP3" s="166">
        <v>58</v>
      </c>
      <c r="BQ3" s="166">
        <v>59</v>
      </c>
      <c r="BR3" s="167">
        <v>60</v>
      </c>
    </row>
    <row r="4" spans="1:70" s="5" customFormat="1" ht="6" customHeight="1" x14ac:dyDescent="0.3">
      <c r="A4" s="3"/>
      <c r="B4" s="4"/>
      <c r="C4" s="211"/>
      <c r="D4" s="211"/>
      <c r="V4" s="255"/>
    </row>
    <row r="5" spans="1:70" s="93" customFormat="1" x14ac:dyDescent="0.3">
      <c r="A5" s="14"/>
      <c r="B5" s="92" t="s">
        <v>88</v>
      </c>
      <c r="C5" s="212"/>
      <c r="D5" s="212"/>
      <c r="E5" s="96">
        <f t="shared" ref="E5:E7" si="0">SUM(K5:V5)</f>
        <v>1233.5562372899906</v>
      </c>
      <c r="F5" s="96">
        <f t="shared" ref="F5:F7" si="1">SUM(W5:AH5)</f>
        <v>1309.6392868178407</v>
      </c>
      <c r="G5" s="96">
        <f t="shared" ref="G5:G7" si="2">SUM(AI5:AT5)</f>
        <v>1390.4149723605469</v>
      </c>
      <c r="H5" s="96">
        <f t="shared" ref="H5:H7" si="3">SUM(AU5:BF5)</f>
        <v>1476.1727254393822</v>
      </c>
      <c r="I5" s="96">
        <f t="shared" ref="I5:I7" si="4">SUM(BG5:BR5)</f>
        <v>1567.2198290785361</v>
      </c>
      <c r="K5" s="94">
        <f>LoanQuantity</f>
        <v>100</v>
      </c>
      <c r="L5" s="95">
        <f t="shared" ref="L5:AQ5" si="5">K5*(1+LoanGrowth)</f>
        <v>100.49999999999999</v>
      </c>
      <c r="M5" s="95">
        <f t="shared" si="5"/>
        <v>101.00249999999997</v>
      </c>
      <c r="N5" s="95">
        <f t="shared" si="5"/>
        <v>101.50751249999996</v>
      </c>
      <c r="O5" s="95">
        <f t="shared" si="5"/>
        <v>102.01505006249995</v>
      </c>
      <c r="P5" s="95">
        <f t="shared" si="5"/>
        <v>102.52512531281243</v>
      </c>
      <c r="Q5" s="95">
        <f t="shared" si="5"/>
        <v>103.03775093937648</v>
      </c>
      <c r="R5" s="95">
        <f t="shared" si="5"/>
        <v>103.55293969407334</v>
      </c>
      <c r="S5" s="95">
        <f t="shared" si="5"/>
        <v>104.0707043925437</v>
      </c>
      <c r="T5" s="95">
        <f t="shared" si="5"/>
        <v>104.59105791450641</v>
      </c>
      <c r="U5" s="95">
        <f t="shared" si="5"/>
        <v>105.11401320407893</v>
      </c>
      <c r="V5" s="96">
        <f t="shared" si="5"/>
        <v>105.63958327009931</v>
      </c>
      <c r="W5" s="94">
        <f t="shared" si="5"/>
        <v>106.16778118644979</v>
      </c>
      <c r="X5" s="95">
        <f t="shared" si="5"/>
        <v>106.69862009238203</v>
      </c>
      <c r="Y5" s="95">
        <f t="shared" si="5"/>
        <v>107.23211319284393</v>
      </c>
      <c r="Z5" s="95">
        <f t="shared" si="5"/>
        <v>107.76827375880814</v>
      </c>
      <c r="AA5" s="95">
        <f t="shared" si="5"/>
        <v>108.30711512760216</v>
      </c>
      <c r="AB5" s="95">
        <f t="shared" si="5"/>
        <v>108.84865070324015</v>
      </c>
      <c r="AC5" s="95">
        <f t="shared" si="5"/>
        <v>109.39289395675634</v>
      </c>
      <c r="AD5" s="95">
        <f t="shared" si="5"/>
        <v>109.93985842654011</v>
      </c>
      <c r="AE5" s="95">
        <f t="shared" si="5"/>
        <v>110.4895577186728</v>
      </c>
      <c r="AF5" s="95">
        <f t="shared" si="5"/>
        <v>111.04200550726615</v>
      </c>
      <c r="AG5" s="95">
        <f t="shared" si="5"/>
        <v>111.59721553480247</v>
      </c>
      <c r="AH5" s="96">
        <f t="shared" si="5"/>
        <v>112.15520161247647</v>
      </c>
      <c r="AI5" s="94">
        <f t="shared" si="5"/>
        <v>112.71597762053885</v>
      </c>
      <c r="AJ5" s="95">
        <f t="shared" si="5"/>
        <v>113.27955750864153</v>
      </c>
      <c r="AK5" s="95">
        <f t="shared" si="5"/>
        <v>113.84595529618473</v>
      </c>
      <c r="AL5" s="95">
        <f t="shared" si="5"/>
        <v>114.41518507266564</v>
      </c>
      <c r="AM5" s="95">
        <f t="shared" si="5"/>
        <v>114.98726099802896</v>
      </c>
      <c r="AN5" s="95">
        <f t="shared" si="5"/>
        <v>115.56219730301909</v>
      </c>
      <c r="AO5" s="95">
        <f t="shared" si="5"/>
        <v>116.14000828953418</v>
      </c>
      <c r="AP5" s="95">
        <f t="shared" si="5"/>
        <v>116.72070833098184</v>
      </c>
      <c r="AQ5" s="95">
        <f t="shared" si="5"/>
        <v>117.30431187263673</v>
      </c>
      <c r="AR5" s="95">
        <f t="shared" ref="AR5:BR5" si="6">AQ5*(1+LoanGrowth)</f>
        <v>117.89083343199991</v>
      </c>
      <c r="AS5" s="95">
        <f t="shared" si="6"/>
        <v>118.48028759915989</v>
      </c>
      <c r="AT5" s="96">
        <f t="shared" si="6"/>
        <v>119.07268903715568</v>
      </c>
      <c r="AU5" s="94">
        <f t="shared" si="6"/>
        <v>119.66805248234145</v>
      </c>
      <c r="AV5" s="95">
        <f t="shared" si="6"/>
        <v>120.26639274475315</v>
      </c>
      <c r="AW5" s="95">
        <f t="shared" si="6"/>
        <v>120.8677247084769</v>
      </c>
      <c r="AX5" s="95">
        <f t="shared" si="6"/>
        <v>121.47206333201927</v>
      </c>
      <c r="AY5" s="95">
        <f t="shared" si="6"/>
        <v>122.07942364867935</v>
      </c>
      <c r="AZ5" s="95">
        <f t="shared" si="6"/>
        <v>122.68982076692274</v>
      </c>
      <c r="BA5" s="95">
        <f t="shared" si="6"/>
        <v>123.30326987075733</v>
      </c>
      <c r="BB5" s="95">
        <f t="shared" si="6"/>
        <v>123.91978622011111</v>
      </c>
      <c r="BC5" s="95">
        <f t="shared" si="6"/>
        <v>124.53938515121165</v>
      </c>
      <c r="BD5" s="95">
        <f t="shared" si="6"/>
        <v>125.16208207696769</v>
      </c>
      <c r="BE5" s="95">
        <f t="shared" si="6"/>
        <v>125.78789248735252</v>
      </c>
      <c r="BF5" s="96">
        <f t="shared" si="6"/>
        <v>126.41683194978927</v>
      </c>
      <c r="BG5" s="94">
        <f t="shared" si="6"/>
        <v>127.0489161095382</v>
      </c>
      <c r="BH5" s="95">
        <f t="shared" si="6"/>
        <v>127.68416069008587</v>
      </c>
      <c r="BI5" s="95">
        <f t="shared" si="6"/>
        <v>128.32258149353629</v>
      </c>
      <c r="BJ5" s="95">
        <f t="shared" si="6"/>
        <v>128.96419440100397</v>
      </c>
      <c r="BK5" s="95">
        <f t="shared" si="6"/>
        <v>129.60901537300896</v>
      </c>
      <c r="BL5" s="95">
        <f t="shared" si="6"/>
        <v>130.25706044987399</v>
      </c>
      <c r="BM5" s="95">
        <f t="shared" si="6"/>
        <v>130.90834575212335</v>
      </c>
      <c r="BN5" s="95">
        <f t="shared" si="6"/>
        <v>131.56288748088394</v>
      </c>
      <c r="BO5" s="95">
        <f t="shared" si="6"/>
        <v>132.22070191828834</v>
      </c>
      <c r="BP5" s="95">
        <f t="shared" si="6"/>
        <v>132.88180542787978</v>
      </c>
      <c r="BQ5" s="95">
        <f t="shared" si="6"/>
        <v>133.54621445501917</v>
      </c>
      <c r="BR5" s="96">
        <f t="shared" si="6"/>
        <v>134.21394552729424</v>
      </c>
    </row>
    <row r="6" spans="1:70" s="93" customFormat="1" x14ac:dyDescent="0.3">
      <c r="A6" s="14"/>
      <c r="B6" s="92" t="s">
        <v>89</v>
      </c>
      <c r="C6" s="212"/>
      <c r="D6" s="212"/>
      <c r="E6" s="96">
        <f t="shared" ca="1" si="0"/>
        <v>366.18388074765562</v>
      </c>
      <c r="F6" s="96">
        <f t="shared" ca="1" si="1"/>
        <v>514.52912770987621</v>
      </c>
      <c r="G6" s="96">
        <f t="shared" ca="1" si="2"/>
        <v>546.26415844757025</v>
      </c>
      <c r="H6" s="96">
        <f t="shared" ca="1" si="3"/>
        <v>579.95653644061804</v>
      </c>
      <c r="I6" s="96">
        <f t="shared" ca="1" si="4"/>
        <v>615.72698658478839</v>
      </c>
      <c r="K6" s="95">
        <f ca="1">IF(K3-LoanSaleHeld&gt;0,OFFSET(K5,0,-LoanSaleHeld)*LoanSalePercent,0)*(1-((1+MitigateDelinquency*MitigateChargeoff)^(LoanSaleHeld)-1))</f>
        <v>0</v>
      </c>
      <c r="L6" s="95">
        <f ca="1">IF(L3-LoanSaleHeld&gt;0,OFFSET(L5,0,-LoanSaleHeld)*LoanSalePercent,0)*(1-((1+MitigateDelinquency*MitigateChargeoff)^(LoanSaleHeld)-1))</f>
        <v>0</v>
      </c>
      <c r="M6" s="95">
        <f ca="1">IF(M3-LoanSaleHeld&gt;0,OFFSET(M5,0,-LoanSaleHeld)*LoanSalePercent,0)*(1-((1+MitigateDelinquency*MitigateChargeoff)^(LoanSaleHeld)-1))</f>
        <v>0</v>
      </c>
      <c r="N6" s="95">
        <f t="shared" ref="N6:AS6" ca="1" si="7">IF(N3-LoanSaleHeld&lt;=0,0,OFFSET(N5,0,-LoanSaleHeld)*(1+((1-MitigateDelinquency*MitigateChargeoff)^3-1))*LoanSalePercent)</f>
        <v>39.880119960000002</v>
      </c>
      <c r="O6" s="95">
        <f t="shared" ca="1" si="7"/>
        <v>40.079520559799995</v>
      </c>
      <c r="P6" s="95">
        <f t="shared" ca="1" si="7"/>
        <v>40.279918162598989</v>
      </c>
      <c r="Q6" s="95">
        <f t="shared" ca="1" si="7"/>
        <v>40.481317753411986</v>
      </c>
      <c r="R6" s="95">
        <f t="shared" ca="1" si="7"/>
        <v>40.683724342179033</v>
      </c>
      <c r="S6" s="95">
        <f t="shared" ca="1" si="7"/>
        <v>40.887142963889929</v>
      </c>
      <c r="T6" s="95">
        <f t="shared" ca="1" si="7"/>
        <v>41.091578678709368</v>
      </c>
      <c r="U6" s="95">
        <f t="shared" ca="1" si="7"/>
        <v>41.297036572102911</v>
      </c>
      <c r="V6" s="96">
        <f t="shared" ca="1" si="7"/>
        <v>41.503521754963423</v>
      </c>
      <c r="W6" s="95">
        <f t="shared" ca="1" si="7"/>
        <v>41.71103936373823</v>
      </c>
      <c r="X6" s="95">
        <f t="shared" ca="1" si="7"/>
        <v>41.919594560556924</v>
      </c>
      <c r="Y6" s="95">
        <f t="shared" ca="1" si="7"/>
        <v>42.129192533359699</v>
      </c>
      <c r="Z6" s="95">
        <f t="shared" ca="1" si="7"/>
        <v>42.339838496026488</v>
      </c>
      <c r="AA6" s="95">
        <f t="shared" ca="1" si="7"/>
        <v>42.55153768850662</v>
      </c>
      <c r="AB6" s="95">
        <f t="shared" ca="1" si="7"/>
        <v>42.76429537694915</v>
      </c>
      <c r="AC6" s="95">
        <f t="shared" ca="1" si="7"/>
        <v>42.978116853833889</v>
      </c>
      <c r="AD6" s="95">
        <f t="shared" ca="1" si="7"/>
        <v>43.193007438103052</v>
      </c>
      <c r="AE6" s="95">
        <f t="shared" ca="1" si="7"/>
        <v>43.40897247529356</v>
      </c>
      <c r="AF6" s="95">
        <f t="shared" ca="1" si="7"/>
        <v>43.626017337670021</v>
      </c>
      <c r="AG6" s="95">
        <f t="shared" ca="1" si="7"/>
        <v>43.844147424358368</v>
      </c>
      <c r="AH6" s="96">
        <f t="shared" ca="1" si="7"/>
        <v>44.063368161480156</v>
      </c>
      <c r="AI6" s="95">
        <f t="shared" ca="1" si="7"/>
        <v>44.283685002287548</v>
      </c>
      <c r="AJ6" s="95">
        <f t="shared" ca="1" si="7"/>
        <v>44.505103427298984</v>
      </c>
      <c r="AK6" s="95">
        <f t="shared" ca="1" si="7"/>
        <v>44.72762894443548</v>
      </c>
      <c r="AL6" s="95">
        <f t="shared" ca="1" si="7"/>
        <v>44.951267089157653</v>
      </c>
      <c r="AM6" s="95">
        <f t="shared" ca="1" si="7"/>
        <v>45.176023424603436</v>
      </c>
      <c r="AN6" s="95">
        <f t="shared" ca="1" si="7"/>
        <v>45.401903541726448</v>
      </c>
      <c r="AO6" s="95">
        <f t="shared" ca="1" si="7"/>
        <v>45.628913059435071</v>
      </c>
      <c r="AP6" s="95">
        <f t="shared" ca="1" si="7"/>
        <v>45.857057624732249</v>
      </c>
      <c r="AQ6" s="95">
        <f t="shared" ca="1" si="7"/>
        <v>46.086342912855905</v>
      </c>
      <c r="AR6" s="95">
        <f t="shared" ca="1" si="7"/>
        <v>46.31677462742018</v>
      </c>
      <c r="AS6" s="95">
        <f t="shared" ca="1" si="7"/>
        <v>46.548358500557271</v>
      </c>
      <c r="AT6" s="96">
        <f t="shared" ref="AT6:BR6" ca="1" si="8">IF(AT3-LoanSaleHeld&lt;=0,0,OFFSET(AT5,0,-LoanSaleHeld)*(1+((1-MitigateDelinquency*MitigateChargeoff)^3-1))*LoanSalePercent)</f>
        <v>46.781100293060057</v>
      </c>
      <c r="AU6" s="95">
        <f t="shared" ca="1" si="8"/>
        <v>47.015005794525351</v>
      </c>
      <c r="AV6" s="95">
        <f t="shared" ca="1" si="8"/>
        <v>47.250080823497967</v>
      </c>
      <c r="AW6" s="95">
        <f t="shared" ca="1" si="8"/>
        <v>47.486331227615459</v>
      </c>
      <c r="AX6" s="95">
        <f t="shared" ca="1" si="8"/>
        <v>47.72376288375353</v>
      </c>
      <c r="AY6" s="95">
        <f t="shared" ca="1" si="8"/>
        <v>47.962381698172294</v>
      </c>
      <c r="AZ6" s="95">
        <f t="shared" ca="1" si="8"/>
        <v>48.202193606663151</v>
      </c>
      <c r="BA6" s="95">
        <f t="shared" ca="1" si="8"/>
        <v>48.443204574696466</v>
      </c>
      <c r="BB6" s="95">
        <f t="shared" ca="1" si="8"/>
        <v>48.685420597569937</v>
      </c>
      <c r="BC6" s="95">
        <f t="shared" ca="1" si="8"/>
        <v>48.928847700557782</v>
      </c>
      <c r="BD6" s="95">
        <f t="shared" ca="1" si="8"/>
        <v>49.173491939060568</v>
      </c>
      <c r="BE6" s="95">
        <f t="shared" ca="1" si="8"/>
        <v>49.419359398755859</v>
      </c>
      <c r="BF6" s="96">
        <f t="shared" ca="1" si="8"/>
        <v>49.666456195749639</v>
      </c>
      <c r="BG6" s="95">
        <f t="shared" ca="1" si="8"/>
        <v>49.914788476728376</v>
      </c>
      <c r="BH6" s="95">
        <f t="shared" ca="1" si="8"/>
        <v>50.164362419112017</v>
      </c>
      <c r="BI6" s="95">
        <f t="shared" ca="1" si="8"/>
        <v>50.415184231207576</v>
      </c>
      <c r="BJ6" s="95">
        <f t="shared" ca="1" si="8"/>
        <v>50.667260152363603</v>
      </c>
      <c r="BK6" s="95">
        <f t="shared" ca="1" si="8"/>
        <v>50.920596453125412</v>
      </c>
      <c r="BL6" s="95">
        <f t="shared" ca="1" si="8"/>
        <v>51.175199435391036</v>
      </c>
      <c r="BM6" s="95">
        <f t="shared" ca="1" si="8"/>
        <v>51.43107543256798</v>
      </c>
      <c r="BN6" s="95">
        <f t="shared" ca="1" si="8"/>
        <v>51.688230809730818</v>
      </c>
      <c r="BO6" s="95">
        <f t="shared" ca="1" si="8"/>
        <v>51.946671963779465</v>
      </c>
      <c r="BP6" s="95">
        <f t="shared" ca="1" si="8"/>
        <v>52.206405323598361</v>
      </c>
      <c r="BQ6" s="95">
        <f t="shared" ca="1" si="8"/>
        <v>52.467437350216336</v>
      </c>
      <c r="BR6" s="96">
        <f t="shared" ca="1" si="8"/>
        <v>52.729774536967412</v>
      </c>
    </row>
    <row r="7" spans="1:70" x14ac:dyDescent="0.3">
      <c r="B7" s="138" t="s">
        <v>90</v>
      </c>
      <c r="C7" s="213"/>
      <c r="D7" s="213"/>
      <c r="E7" s="122">
        <f t="shared" ca="1" si="0"/>
        <v>0</v>
      </c>
      <c r="F7" s="122">
        <f t="shared" ca="1" si="1"/>
        <v>364.53011272518734</v>
      </c>
      <c r="G7" s="122">
        <f t="shared" ca="1" si="2"/>
        <v>762.61716208560256</v>
      </c>
      <c r="H7" s="122">
        <f t="shared" ca="1" si="3"/>
        <v>809.65371993335589</v>
      </c>
      <c r="I7" s="122">
        <f t="shared" ca="1" si="4"/>
        <v>859.59138974679672</v>
      </c>
      <c r="J7" s="94"/>
      <c r="K7" s="123">
        <f t="shared" ref="K7:AP7" ca="1" si="9">IF(K3&lt;LoanTerm,0,   OFFSET(K5,0,-LoanTerm))*(1-LoanSalePercent)</f>
        <v>0</v>
      </c>
      <c r="L7" s="123">
        <f t="shared" ca="1" si="9"/>
        <v>0</v>
      </c>
      <c r="M7" s="123">
        <f t="shared" ca="1" si="9"/>
        <v>0</v>
      </c>
      <c r="N7" s="123">
        <f t="shared" ca="1" si="9"/>
        <v>0</v>
      </c>
      <c r="O7" s="123">
        <f t="shared" ca="1" si="9"/>
        <v>0</v>
      </c>
      <c r="P7" s="123">
        <f t="shared" ca="1" si="9"/>
        <v>0</v>
      </c>
      <c r="Q7" s="123">
        <f t="shared" ca="1" si="9"/>
        <v>0</v>
      </c>
      <c r="R7" s="123">
        <f t="shared" ca="1" si="9"/>
        <v>0</v>
      </c>
      <c r="S7" s="123">
        <f t="shared" ca="1" si="9"/>
        <v>0</v>
      </c>
      <c r="T7" s="123">
        <f t="shared" ca="1" si="9"/>
        <v>0</v>
      </c>
      <c r="U7" s="123">
        <f t="shared" ca="1" si="9"/>
        <v>0</v>
      </c>
      <c r="V7" s="122">
        <f t="shared" ca="1" si="9"/>
        <v>0</v>
      </c>
      <c r="W7" s="123">
        <f t="shared" ca="1" si="9"/>
        <v>0</v>
      </c>
      <c r="X7" s="123">
        <f t="shared" ca="1" si="9"/>
        <v>0</v>
      </c>
      <c r="Y7" s="123">
        <f t="shared" ca="1" si="9"/>
        <v>0</v>
      </c>
      <c r="Z7" s="123">
        <f t="shared" ca="1" si="9"/>
        <v>0</v>
      </c>
      <c r="AA7" s="123">
        <f t="shared" ca="1" si="9"/>
        <v>0</v>
      </c>
      <c r="AB7" s="123">
        <f t="shared" ca="1" si="9"/>
        <v>0</v>
      </c>
      <c r="AC7" s="123">
        <f t="shared" ca="1" si="9"/>
        <v>60</v>
      </c>
      <c r="AD7" s="123">
        <f t="shared" ca="1" si="9"/>
        <v>60.29999999999999</v>
      </c>
      <c r="AE7" s="123">
        <f t="shared" ca="1" si="9"/>
        <v>60.60149999999998</v>
      </c>
      <c r="AF7" s="123">
        <f t="shared" ca="1" si="9"/>
        <v>60.904507499999973</v>
      </c>
      <c r="AG7" s="123">
        <f t="shared" ca="1" si="9"/>
        <v>61.209030037499971</v>
      </c>
      <c r="AH7" s="122">
        <f t="shared" ca="1" si="9"/>
        <v>61.515075187687458</v>
      </c>
      <c r="AI7" s="123">
        <f t="shared" ca="1" si="9"/>
        <v>61.822650563625885</v>
      </c>
      <c r="AJ7" s="123">
        <f t="shared" ca="1" si="9"/>
        <v>62.131763816444007</v>
      </c>
      <c r="AK7" s="123">
        <f t="shared" ca="1" si="9"/>
        <v>62.442422635526221</v>
      </c>
      <c r="AL7" s="123">
        <f t="shared" ca="1" si="9"/>
        <v>62.754634748703843</v>
      </c>
      <c r="AM7" s="123">
        <f t="shared" ca="1" si="9"/>
        <v>63.068407922447356</v>
      </c>
      <c r="AN7" s="123">
        <f t="shared" ca="1" si="9"/>
        <v>63.383749962059582</v>
      </c>
      <c r="AO7" s="123">
        <f t="shared" ca="1" si="9"/>
        <v>63.700668711869866</v>
      </c>
      <c r="AP7" s="123">
        <f t="shared" ca="1" si="9"/>
        <v>64.019172055429209</v>
      </c>
      <c r="AQ7" s="123">
        <f t="shared" ref="AQ7:BR7" ca="1" si="10">IF(AQ3&lt;LoanTerm,0,   OFFSET(AQ5,0,-LoanTerm))*(1-LoanSalePercent)</f>
        <v>64.339267915706358</v>
      </c>
      <c r="AR7" s="123">
        <f t="shared" ca="1" si="10"/>
        <v>64.660964255284881</v>
      </c>
      <c r="AS7" s="123">
        <f t="shared" ca="1" si="10"/>
        <v>64.98426907656129</v>
      </c>
      <c r="AT7" s="122">
        <f t="shared" ca="1" si="10"/>
        <v>65.309190421944095</v>
      </c>
      <c r="AU7" s="123">
        <f t="shared" ca="1" si="10"/>
        <v>65.635736374053806</v>
      </c>
      <c r="AV7" s="123">
        <f t="shared" ca="1" si="10"/>
        <v>65.963915055924062</v>
      </c>
      <c r="AW7" s="123">
        <f t="shared" ca="1" si="10"/>
        <v>66.293734631203677</v>
      </c>
      <c r="AX7" s="123">
        <f t="shared" ca="1" si="10"/>
        <v>66.625203304359687</v>
      </c>
      <c r="AY7" s="123">
        <f t="shared" ca="1" si="10"/>
        <v>66.958329320881475</v>
      </c>
      <c r="AZ7" s="123">
        <f t="shared" ca="1" si="10"/>
        <v>67.293120967485876</v>
      </c>
      <c r="BA7" s="123">
        <f t="shared" ca="1" si="10"/>
        <v>67.629586572323305</v>
      </c>
      <c r="BB7" s="123">
        <f t="shared" ca="1" si="10"/>
        <v>67.967734505184922</v>
      </c>
      <c r="BC7" s="123">
        <f t="shared" ca="1" si="10"/>
        <v>68.307573177710836</v>
      </c>
      <c r="BD7" s="123">
        <f t="shared" ca="1" si="10"/>
        <v>68.649111043599376</v>
      </c>
      <c r="BE7" s="123">
        <f t="shared" ca="1" si="10"/>
        <v>68.992356598817366</v>
      </c>
      <c r="BF7" s="122">
        <f t="shared" ca="1" si="10"/>
        <v>69.337318381811457</v>
      </c>
      <c r="BG7" s="123">
        <f t="shared" ca="1" si="10"/>
        <v>69.684004973720505</v>
      </c>
      <c r="BH7" s="123">
        <f t="shared" ca="1" si="10"/>
        <v>70.032424998589093</v>
      </c>
      <c r="BI7" s="123">
        <f t="shared" ca="1" si="10"/>
        <v>70.382587123582041</v>
      </c>
      <c r="BJ7" s="123">
        <f t="shared" ca="1" si="10"/>
        <v>70.734500059199945</v>
      </c>
      <c r="BK7" s="123">
        <f t="shared" ca="1" si="10"/>
        <v>71.088172559495931</v>
      </c>
      <c r="BL7" s="123">
        <f t="shared" ca="1" si="10"/>
        <v>71.44361342229341</v>
      </c>
      <c r="BM7" s="123">
        <f t="shared" ca="1" si="10"/>
        <v>71.800831489404871</v>
      </c>
      <c r="BN7" s="123">
        <f t="shared" ca="1" si="10"/>
        <v>72.159835646851889</v>
      </c>
      <c r="BO7" s="123">
        <f t="shared" ca="1" si="10"/>
        <v>72.520634825086134</v>
      </c>
      <c r="BP7" s="123">
        <f t="shared" ca="1" si="10"/>
        <v>72.883237999211559</v>
      </c>
      <c r="BQ7" s="123">
        <f t="shared" ca="1" si="10"/>
        <v>73.247654189207609</v>
      </c>
      <c r="BR7" s="122">
        <f t="shared" ca="1" si="10"/>
        <v>73.613892460153636</v>
      </c>
    </row>
    <row r="8" spans="1:70" s="93" customFormat="1" x14ac:dyDescent="0.3">
      <c r="A8" s="14"/>
      <c r="B8" s="98" t="s">
        <v>91</v>
      </c>
      <c r="C8" s="212"/>
      <c r="D8" s="212"/>
      <c r="E8" s="113">
        <f ca="1">SUM(K8:V8)</f>
        <v>867.37235654233484</v>
      </c>
      <c r="F8" s="113">
        <f t="shared" ref="F8" ca="1" si="11">SUM(W8:AH8)</f>
        <v>430.58004638277697</v>
      </c>
      <c r="G8" s="113">
        <f t="shared" ref="G8" ca="1" si="12">SUM(AI8:AT8)</f>
        <v>81.533651827374143</v>
      </c>
      <c r="H8" s="113">
        <f t="shared" ref="H8" ca="1" si="13">SUM(AU8:BF8)</f>
        <v>86.562469065408592</v>
      </c>
      <c r="I8" s="113">
        <f t="shared" ref="I8" ca="1" si="14">SUM(BG8:BR8)</f>
        <v>91.901452746951108</v>
      </c>
      <c r="K8" s="99">
        <f t="shared" ref="K8:AP8" ca="1" si="15">K5-K6-K7</f>
        <v>100</v>
      </c>
      <c r="L8" s="99">
        <f t="shared" ca="1" si="15"/>
        <v>100.49999999999999</v>
      </c>
      <c r="M8" s="99">
        <f t="shared" ca="1" si="15"/>
        <v>101.00249999999997</v>
      </c>
      <c r="N8" s="99">
        <f t="shared" ca="1" si="15"/>
        <v>61.62739253999996</v>
      </c>
      <c r="O8" s="99">
        <f t="shared" ca="1" si="15"/>
        <v>61.935529502699957</v>
      </c>
      <c r="P8" s="99">
        <f t="shared" ca="1" si="15"/>
        <v>62.245207150213446</v>
      </c>
      <c r="Q8" s="99">
        <f t="shared" ca="1" si="15"/>
        <v>62.556433185964494</v>
      </c>
      <c r="R8" s="99">
        <f t="shared" ca="1" si="15"/>
        <v>62.869215351894312</v>
      </c>
      <c r="S8" s="99">
        <f t="shared" ca="1" si="15"/>
        <v>63.183561428653775</v>
      </c>
      <c r="T8" s="99">
        <f t="shared" ca="1" si="15"/>
        <v>63.49947923579704</v>
      </c>
      <c r="U8" s="99">
        <f t="shared" ca="1" si="15"/>
        <v>63.816976631976019</v>
      </c>
      <c r="V8" s="100">
        <f t="shared" ca="1" si="15"/>
        <v>64.136061515135879</v>
      </c>
      <c r="W8" s="99">
        <f t="shared" ca="1" si="15"/>
        <v>64.456741822711564</v>
      </c>
      <c r="X8" s="99">
        <f t="shared" ca="1" si="15"/>
        <v>64.779025531825113</v>
      </c>
      <c r="Y8" s="99">
        <f t="shared" ca="1" si="15"/>
        <v>65.102920659484226</v>
      </c>
      <c r="Z8" s="99">
        <f t="shared" ca="1" si="15"/>
        <v>65.428435262781647</v>
      </c>
      <c r="AA8" s="99">
        <f t="shared" ca="1" si="15"/>
        <v>65.755577439095532</v>
      </c>
      <c r="AB8" s="99">
        <f t="shared" ca="1" si="15"/>
        <v>66.084355326291004</v>
      </c>
      <c r="AC8" s="99">
        <f t="shared" ca="1" si="15"/>
        <v>6.414777102922443</v>
      </c>
      <c r="AD8" s="99">
        <f t="shared" ca="1" si="15"/>
        <v>6.4468509884370704</v>
      </c>
      <c r="AE8" s="99">
        <f t="shared" ca="1" si="15"/>
        <v>6.4790852433792523</v>
      </c>
      <c r="AF8" s="99">
        <f t="shared" ca="1" si="15"/>
        <v>6.5114806695961605</v>
      </c>
      <c r="AG8" s="99">
        <f t="shared" ca="1" si="15"/>
        <v>6.544038072944133</v>
      </c>
      <c r="AH8" s="100">
        <f t="shared" ca="1" si="15"/>
        <v>6.5767582633088608</v>
      </c>
      <c r="AI8" s="99">
        <f t="shared" ca="1" si="15"/>
        <v>6.6096420546254109</v>
      </c>
      <c r="AJ8" s="99">
        <f t="shared" ca="1" si="15"/>
        <v>6.6426902648985475</v>
      </c>
      <c r="AK8" s="99">
        <f t="shared" ca="1" si="15"/>
        <v>6.6759037162230257</v>
      </c>
      <c r="AL8" s="99">
        <f t="shared" ca="1" si="15"/>
        <v>6.7092832348041398</v>
      </c>
      <c r="AM8" s="99">
        <f t="shared" ca="1" si="15"/>
        <v>6.7428296509781731</v>
      </c>
      <c r="AN8" s="99">
        <f t="shared" ca="1" si="15"/>
        <v>6.7765437992330675</v>
      </c>
      <c r="AO8" s="99">
        <f t="shared" ca="1" si="15"/>
        <v>6.8104265182292352</v>
      </c>
      <c r="AP8" s="99">
        <f t="shared" ca="1" si="15"/>
        <v>6.8444786508203777</v>
      </c>
      <c r="AQ8" s="99">
        <f t="shared" ref="AQ8:BR8" ca="1" si="16">AQ5-AQ6-AQ7</f>
        <v>6.8787010440744609</v>
      </c>
      <c r="AR8" s="99">
        <f t="shared" ca="1" si="16"/>
        <v>6.9130945492948399</v>
      </c>
      <c r="AS8" s="99">
        <f t="shared" ca="1" si="16"/>
        <v>6.9476600220413331</v>
      </c>
      <c r="AT8" s="100">
        <f t="shared" ca="1" si="16"/>
        <v>6.9823983221515391</v>
      </c>
      <c r="AU8" s="99">
        <f t="shared" ca="1" si="16"/>
        <v>7.0173103137622945</v>
      </c>
      <c r="AV8" s="99">
        <f t="shared" ca="1" si="16"/>
        <v>7.0523968653311186</v>
      </c>
      <c r="AW8" s="99">
        <f t="shared" ca="1" si="16"/>
        <v>7.087658849657771</v>
      </c>
      <c r="AX8" s="99">
        <f t="shared" ca="1" si="16"/>
        <v>7.1230971439060653</v>
      </c>
      <c r="AY8" s="99">
        <f t="shared" ca="1" si="16"/>
        <v>7.1587126296255832</v>
      </c>
      <c r="AZ8" s="99">
        <f t="shared" ca="1" si="16"/>
        <v>7.1945061927737157</v>
      </c>
      <c r="BA8" s="99">
        <f t="shared" ca="1" si="16"/>
        <v>7.2304787237375621</v>
      </c>
      <c r="BB8" s="99">
        <f t="shared" ca="1" si="16"/>
        <v>7.2666311173562406</v>
      </c>
      <c r="BC8" s="99">
        <f t="shared" ca="1" si="16"/>
        <v>7.3029642729430293</v>
      </c>
      <c r="BD8" s="99">
        <f t="shared" ca="1" si="16"/>
        <v>7.3394790943077481</v>
      </c>
      <c r="BE8" s="99">
        <f t="shared" ca="1" si="16"/>
        <v>7.3761764897792972</v>
      </c>
      <c r="BF8" s="100">
        <f t="shared" ca="1" si="16"/>
        <v>7.4130573722281667</v>
      </c>
      <c r="BG8" s="99">
        <f t="shared" ca="1" si="16"/>
        <v>7.4501226590893168</v>
      </c>
      <c r="BH8" s="99">
        <f t="shared" ca="1" si="16"/>
        <v>7.4873732723847723</v>
      </c>
      <c r="BI8" s="99">
        <f t="shared" ca="1" si="16"/>
        <v>7.5248101387466733</v>
      </c>
      <c r="BJ8" s="99">
        <f t="shared" ca="1" si="16"/>
        <v>7.5624341894404097</v>
      </c>
      <c r="BK8" s="99">
        <f t="shared" ca="1" si="16"/>
        <v>7.6002463603876151</v>
      </c>
      <c r="BL8" s="99">
        <f t="shared" ca="1" si="16"/>
        <v>7.6382475921895434</v>
      </c>
      <c r="BM8" s="99">
        <f t="shared" ca="1" si="16"/>
        <v>7.6764388301505022</v>
      </c>
      <c r="BN8" s="99">
        <f t="shared" ca="1" si="16"/>
        <v>7.7148210243012443</v>
      </c>
      <c r="BO8" s="99">
        <f t="shared" ca="1" si="16"/>
        <v>7.7533951294227421</v>
      </c>
      <c r="BP8" s="99">
        <f t="shared" ca="1" si="16"/>
        <v>7.7921621050698633</v>
      </c>
      <c r="BQ8" s="99">
        <f t="shared" ca="1" si="16"/>
        <v>7.8311229155952304</v>
      </c>
      <c r="BR8" s="100">
        <f t="shared" ca="1" si="16"/>
        <v>7.870278530173195</v>
      </c>
    </row>
    <row r="9" spans="1:70" s="103" customFormat="1" x14ac:dyDescent="0.3">
      <c r="A9" s="2"/>
      <c r="B9" s="101" t="s">
        <v>199</v>
      </c>
      <c r="C9" s="212"/>
      <c r="D9" s="212"/>
      <c r="E9" s="103">
        <f t="shared" ref="E9" ca="1" si="17">V9</f>
        <v>867.37235654233484</v>
      </c>
      <c r="F9" s="103">
        <f t="shared" ref="F9" ca="1" si="18">AH9</f>
        <v>1297.9524029251122</v>
      </c>
      <c r="G9" s="103">
        <f t="shared" ref="G9" ca="1" si="19">AT9</f>
        <v>1379.4860547524863</v>
      </c>
      <c r="H9" s="103">
        <f t="shared" ref="H9" ca="1" si="20">BF9</f>
        <v>1466.0485238178949</v>
      </c>
      <c r="I9" s="103">
        <f t="shared" ref="I9" ca="1" si="21">BR9</f>
        <v>1557.9499765648461</v>
      </c>
      <c r="J9" s="102"/>
      <c r="K9" s="93">
        <f ca="1">K8</f>
        <v>100</v>
      </c>
      <c r="L9" s="93">
        <f ca="1">K9+L8</f>
        <v>200.5</v>
      </c>
      <c r="M9" s="93">
        <f ca="1">L9+M8</f>
        <v>301.50249999999994</v>
      </c>
      <c r="N9" s="93">
        <f ca="1">M9+N8</f>
        <v>363.1298925399999</v>
      </c>
      <c r="O9" s="93">
        <f t="shared" ref="O9:V9" ca="1" si="22">N9+O8</f>
        <v>425.06542204269988</v>
      </c>
      <c r="P9" s="93">
        <f t="shared" ca="1" si="22"/>
        <v>487.31062919291332</v>
      </c>
      <c r="Q9" s="93">
        <f t="shared" ca="1" si="22"/>
        <v>549.86706237887779</v>
      </c>
      <c r="R9" s="93">
        <f ca="1">Q9+R8</f>
        <v>612.73627773077214</v>
      </c>
      <c r="S9" s="93">
        <f t="shared" ca="1" si="22"/>
        <v>675.91983915942592</v>
      </c>
      <c r="T9" s="93">
        <f t="shared" ca="1" si="22"/>
        <v>739.41931839522294</v>
      </c>
      <c r="U9" s="93">
        <f t="shared" ca="1" si="22"/>
        <v>803.23629502719893</v>
      </c>
      <c r="V9" s="102">
        <f t="shared" ca="1" si="22"/>
        <v>867.37235654233484</v>
      </c>
      <c r="W9" s="93">
        <f ca="1">V9+W8</f>
        <v>931.82909836504643</v>
      </c>
      <c r="X9" s="93">
        <f t="shared" ref="X9" ca="1" si="23">W9+X8</f>
        <v>996.60812389687158</v>
      </c>
      <c r="Y9" s="93">
        <f t="shared" ref="Y9" ca="1" si="24">X9+Y8</f>
        <v>1061.7110445563558</v>
      </c>
      <c r="Z9" s="93">
        <f t="shared" ref="Z9" ca="1" si="25">Y9+Z8</f>
        <v>1127.1394798191375</v>
      </c>
      <c r="AA9" s="93">
        <f t="shared" ref="AA9" ca="1" si="26">Z9+AA8</f>
        <v>1192.895057258233</v>
      </c>
      <c r="AB9" s="93">
        <f t="shared" ref="AB9" ca="1" si="27">AA9+AB8</f>
        <v>1258.979412584524</v>
      </c>
      <c r="AC9" s="93">
        <f t="shared" ref="AC9" ca="1" si="28">AB9+AC8</f>
        <v>1265.3941896874464</v>
      </c>
      <c r="AD9" s="93">
        <f t="shared" ref="AD9" ca="1" si="29">AC9+AD8</f>
        <v>1271.8410406758835</v>
      </c>
      <c r="AE9" s="93">
        <f t="shared" ref="AE9" ca="1" si="30">AD9+AE8</f>
        <v>1278.3201259192629</v>
      </c>
      <c r="AF9" s="93">
        <f t="shared" ref="AF9" ca="1" si="31">AE9+AF8</f>
        <v>1284.8316065888591</v>
      </c>
      <c r="AG9" s="93">
        <f t="shared" ref="AG9" ca="1" si="32">AF9+AG8</f>
        <v>1291.3756446618033</v>
      </c>
      <c r="AH9" s="102">
        <f t="shared" ref="AH9" ca="1" si="33">AG9+AH8</f>
        <v>1297.9524029251122</v>
      </c>
      <c r="AI9" s="93">
        <f t="shared" ref="AI9" ca="1" si="34">AH9+AI8</f>
        <v>1304.5620449797377</v>
      </c>
      <c r="AJ9" s="93">
        <f t="shared" ref="AJ9" ca="1" si="35">AI9+AJ8</f>
        <v>1311.2047352446364</v>
      </c>
      <c r="AK9" s="93">
        <f t="shared" ref="AK9" ca="1" si="36">AJ9+AK8</f>
        <v>1317.8806389608594</v>
      </c>
      <c r="AL9" s="93">
        <f t="shared" ref="AL9" ca="1" si="37">AK9+AL8</f>
        <v>1324.5899221956636</v>
      </c>
      <c r="AM9" s="93">
        <f t="shared" ref="AM9" ca="1" si="38">AL9+AM8</f>
        <v>1331.3327518466417</v>
      </c>
      <c r="AN9" s="93">
        <f t="shared" ref="AN9" ca="1" si="39">AM9+AN8</f>
        <v>1338.1092956458747</v>
      </c>
      <c r="AO9" s="93">
        <f t="shared" ref="AO9" ca="1" si="40">AN9+AO8</f>
        <v>1344.9197221641039</v>
      </c>
      <c r="AP9" s="93">
        <f t="shared" ref="AP9" ca="1" si="41">AO9+AP8</f>
        <v>1351.7642008149242</v>
      </c>
      <c r="AQ9" s="93">
        <f t="shared" ref="AQ9" ca="1" si="42">AP9+AQ8</f>
        <v>1358.6429018589986</v>
      </c>
      <c r="AR9" s="93">
        <f t="shared" ref="AR9" ca="1" si="43">AQ9+AR8</f>
        <v>1365.5559964082934</v>
      </c>
      <c r="AS9" s="93">
        <f t="shared" ref="AS9" ca="1" si="44">AR9+AS8</f>
        <v>1372.5036564303348</v>
      </c>
      <c r="AT9" s="102">
        <f t="shared" ref="AT9" ca="1" si="45">AS9+AT8</f>
        <v>1379.4860547524863</v>
      </c>
      <c r="AU9" s="93">
        <f t="shared" ref="AU9" ca="1" si="46">AT9+AU8</f>
        <v>1386.5033650662485</v>
      </c>
      <c r="AV9" s="93">
        <f t="shared" ref="AV9" ca="1" si="47">AU9+AV8</f>
        <v>1393.5557619315796</v>
      </c>
      <c r="AW9" s="93">
        <f t="shared" ref="AW9" ca="1" si="48">AV9+AW8</f>
        <v>1400.6434207812374</v>
      </c>
      <c r="AX9" s="93">
        <f t="shared" ref="AX9" ca="1" si="49">AW9+AX8</f>
        <v>1407.7665179251435</v>
      </c>
      <c r="AY9" s="93">
        <f t="shared" ref="AY9" ca="1" si="50">AX9+AY8</f>
        <v>1414.9252305547691</v>
      </c>
      <c r="AZ9" s="93">
        <f t="shared" ref="AZ9" ca="1" si="51">AY9+AZ8</f>
        <v>1422.1197367475429</v>
      </c>
      <c r="BA9" s="93">
        <f t="shared" ref="BA9" ca="1" si="52">AZ9+BA8</f>
        <v>1429.3502154712805</v>
      </c>
      <c r="BB9" s="93">
        <f t="shared" ref="BB9" ca="1" si="53">BA9+BB8</f>
        <v>1436.6168465886367</v>
      </c>
      <c r="BC9" s="93">
        <f t="shared" ref="BC9" ca="1" si="54">BB9+BC8</f>
        <v>1443.9198108615797</v>
      </c>
      <c r="BD9" s="93">
        <f t="shared" ref="BD9" ca="1" si="55">BC9+BD8</f>
        <v>1451.2592899558874</v>
      </c>
      <c r="BE9" s="93">
        <f t="shared" ref="BE9" ca="1" si="56">BD9+BE8</f>
        <v>1458.6354664456667</v>
      </c>
      <c r="BF9" s="102">
        <f t="shared" ref="BF9" ca="1" si="57">BE9+BF8</f>
        <v>1466.0485238178949</v>
      </c>
      <c r="BG9" s="93">
        <f t="shared" ref="BG9" ca="1" si="58">BF9+BG8</f>
        <v>1473.4986464769843</v>
      </c>
      <c r="BH9" s="93">
        <f t="shared" ref="BH9" ca="1" si="59">BG9+BH8</f>
        <v>1480.986019749369</v>
      </c>
      <c r="BI9" s="93">
        <f t="shared" ref="BI9" ca="1" si="60">BH9+BI8</f>
        <v>1488.5108298881157</v>
      </c>
      <c r="BJ9" s="93">
        <f t="shared" ref="BJ9" ca="1" si="61">BI9+BJ8</f>
        <v>1496.0732640775561</v>
      </c>
      <c r="BK9" s="93">
        <f t="shared" ref="BK9" ca="1" si="62">BJ9+BK8</f>
        <v>1503.6735104379438</v>
      </c>
      <c r="BL9" s="93">
        <f t="shared" ref="BL9" ca="1" si="63">BK9+BL8</f>
        <v>1511.3117580301334</v>
      </c>
      <c r="BM9" s="93">
        <f t="shared" ref="BM9" ca="1" si="64">BL9+BM8</f>
        <v>1518.988196860284</v>
      </c>
      <c r="BN9" s="93">
        <f t="shared" ref="BN9" ca="1" si="65">BM9+BN8</f>
        <v>1526.7030178845853</v>
      </c>
      <c r="BO9" s="93">
        <f t="shared" ref="BO9" ca="1" si="66">BN9+BO8</f>
        <v>1534.4564130140079</v>
      </c>
      <c r="BP9" s="93">
        <f t="shared" ref="BP9" ca="1" si="67">BO9+BP8</f>
        <v>1542.2485751190777</v>
      </c>
      <c r="BQ9" s="93">
        <f t="shared" ref="BQ9" ca="1" si="68">BP9+BQ8</f>
        <v>1550.0796980346729</v>
      </c>
      <c r="BR9" s="102">
        <f ca="1">BQ9+BR8</f>
        <v>1557.9499765648461</v>
      </c>
    </row>
    <row r="10" spans="1:70" ht="6" customHeight="1" x14ac:dyDescent="0.3">
      <c r="E10" s="125"/>
      <c r="F10" s="125"/>
      <c r="G10" s="125"/>
      <c r="H10" s="125"/>
      <c r="I10" s="125"/>
      <c r="V10" s="105"/>
    </row>
    <row r="11" spans="1:70" s="103" customFormat="1" x14ac:dyDescent="0.3">
      <c r="A11" s="14"/>
      <c r="B11" s="101" t="s">
        <v>92</v>
      </c>
      <c r="C11" s="212"/>
      <c r="D11" s="212"/>
      <c r="E11" s="103">
        <f t="shared" ref="E11" si="69">SUM(K11:V11)</f>
        <v>2198.5169185594978</v>
      </c>
      <c r="F11" s="103">
        <f t="shared" ref="F11" si="70">SUM(W11:AH11)</f>
        <v>3656.9159893662954</v>
      </c>
      <c r="G11" s="103">
        <f t="shared" ref="G11" si="71">SUM(AI11:AT11)</f>
        <v>3603.0022929409674</v>
      </c>
      <c r="H11" s="103">
        <f t="shared" ref="H11" si="72">SUM(AU11:BF11)</f>
        <v>4074.2231620788557</v>
      </c>
      <c r="I11" s="103">
        <f t="shared" ref="I11" si="73">SUM(BG11:BR11)</f>
        <v>4373.39305035709</v>
      </c>
      <c r="J11" s="102"/>
      <c r="K11" s="93">
        <f>Amort!D2</f>
        <v>37.5</v>
      </c>
      <c r="L11" s="93">
        <f>Amort!E2</f>
        <v>76.462238400620691</v>
      </c>
      <c r="M11" s="93">
        <f>Amort!F2</f>
        <v>113.62441341226801</v>
      </c>
      <c r="N11" s="93">
        <f>Amort!G2</f>
        <v>148.94974137113311</v>
      </c>
      <c r="O11" s="93">
        <f>Amort!H2</f>
        <v>170.44367362463638</v>
      </c>
      <c r="P11" s="93">
        <f>Amort!I2</f>
        <v>189.67199075114604</v>
      </c>
      <c r="Q11" s="93">
        <f>Amort!J2</f>
        <v>207.73129704976262</v>
      </c>
      <c r="R11" s="93">
        <f>Amort!K2</f>
        <v>224.59803255192301</v>
      </c>
      <c r="S11" s="93">
        <f>Amort!L2</f>
        <v>240.24824824851356</v>
      </c>
      <c r="T11" s="93">
        <f>Amort!M2</f>
        <v>252.47861964335578</v>
      </c>
      <c r="U11" s="93">
        <f>Amort!N2</f>
        <v>263.50462625536557</v>
      </c>
      <c r="V11" s="102">
        <f>Amort!O2</f>
        <v>273.30403725077269</v>
      </c>
      <c r="W11" s="93">
        <f>Amort!P2</f>
        <v>281.85428420312473</v>
      </c>
      <c r="X11" s="93">
        <f>Amort!Q2</f>
        <v>289.88224795571864</v>
      </c>
      <c r="Y11" s="93">
        <f>Amort!R2</f>
        <v>296.58543636267655</v>
      </c>
      <c r="Z11" s="93">
        <f>Amort!S2</f>
        <v>301.93894370825529</v>
      </c>
      <c r="AA11" s="93">
        <f>Amort!T2</f>
        <v>305.91747378228831</v>
      </c>
      <c r="AB11" s="93">
        <f>Amort!U2</f>
        <v>308.49533408011831</v>
      </c>
      <c r="AC11" s="93">
        <f>Amort!V2</f>
        <v>309.64642991783063</v>
      </c>
      <c r="AD11" s="93">
        <f>Amort!W2</f>
        <v>310.75285568673746</v>
      </c>
      <c r="AE11" s="93">
        <f>Amort!X2</f>
        <v>311.56803934558275</v>
      </c>
      <c r="AF11" s="93">
        <f>Amort!Y2</f>
        <v>312.45001240131108</v>
      </c>
      <c r="AG11" s="93">
        <f>Amort!Z2</f>
        <v>313.40112934838544</v>
      </c>
      <c r="AH11" s="102">
        <f>Amort!AA2</f>
        <v>314.42380257426601</v>
      </c>
      <c r="AI11" s="93">
        <f>Amort!AB2</f>
        <v>315.52050357237999</v>
      </c>
      <c r="AJ11" s="93">
        <f>Amort!AC2</f>
        <v>273.03393472194898</v>
      </c>
      <c r="AK11" s="93">
        <f>Amort!AD2</f>
        <v>276.44055605552995</v>
      </c>
      <c r="AL11" s="93">
        <f>Amort!AE2</f>
        <v>279.95722707896812</v>
      </c>
      <c r="AM11" s="93">
        <f>Amort!AF2</f>
        <v>283.76472688294217</v>
      </c>
      <c r="AN11" s="93">
        <f>Amort!AG2</f>
        <v>301.55803906948341</v>
      </c>
      <c r="AO11" s="93">
        <f>Amort!AH2</f>
        <v>304.53223470082537</v>
      </c>
      <c r="AP11" s="93">
        <f>Amort!AI2</f>
        <v>307.53244072653348</v>
      </c>
      <c r="AQ11" s="93">
        <f>Amort!AJ2</f>
        <v>310.55895759875244</v>
      </c>
      <c r="AR11" s="93">
        <f>Amort!AK2</f>
        <v>313.61208971588445</v>
      </c>
      <c r="AS11" s="93">
        <f>Amort!AL2</f>
        <v>316.69214547752705</v>
      </c>
      <c r="AT11" s="102">
        <f>Amort!AM2</f>
        <v>319.7994373401927</v>
      </c>
      <c r="AU11" s="93">
        <f>Amort!AN2</f>
        <v>322.93428187382165</v>
      </c>
      <c r="AV11" s="93">
        <f>Amort!AO2</f>
        <v>326.09699981909807</v>
      </c>
      <c r="AW11" s="93">
        <f>Amort!AP2</f>
        <v>329.28791614558332</v>
      </c>
      <c r="AX11" s="93">
        <f>Amort!AQ2</f>
        <v>332.50736011067534</v>
      </c>
      <c r="AY11" s="93">
        <f>Amort!AR2</f>
        <v>335.75566531940854</v>
      </c>
      <c r="AZ11" s="93">
        <f>Amort!AS2</f>
        <v>339.03316978510475</v>
      </c>
      <c r="BA11" s="93">
        <f>Amort!AT2</f>
        <v>342.34021599088766</v>
      </c>
      <c r="BB11" s="93">
        <f>Amort!AU2</f>
        <v>345.67715095207302</v>
      </c>
      <c r="BC11" s="93">
        <f>Amort!AV2</f>
        <v>347.53240828779747</v>
      </c>
      <c r="BD11" s="93">
        <f>Amort!AW2</f>
        <v>349.27007032923643</v>
      </c>
      <c r="BE11" s="93">
        <f>Amort!AX2</f>
        <v>351.01642068088262</v>
      </c>
      <c r="BF11" s="102">
        <f>Amort!AY2</f>
        <v>352.77150278428695</v>
      </c>
      <c r="BG11" s="93">
        <f>Amort!AZ2</f>
        <v>354.53536029820833</v>
      </c>
      <c r="BH11" s="93">
        <f>Amort!BA2</f>
        <v>356.30803709969933</v>
      </c>
      <c r="BI11" s="93">
        <f>Amort!BB2</f>
        <v>358.08957728519783</v>
      </c>
      <c r="BJ11" s="93">
        <f>Amort!BC2</f>
        <v>359.88002517162374</v>
      </c>
      <c r="BK11" s="93">
        <f>Amort!BD2</f>
        <v>361.67942529748183</v>
      </c>
      <c r="BL11" s="93">
        <f>Amort!BE2</f>
        <v>363.48782242396925</v>
      </c>
      <c r="BM11" s="93">
        <f>Amort!BF2</f>
        <v>365.30526153608906</v>
      </c>
      <c r="BN11" s="93">
        <f>Amort!BG2</f>
        <v>367.13178784376942</v>
      </c>
      <c r="BO11" s="93">
        <f>Amort!BH2</f>
        <v>368.96744678298819</v>
      </c>
      <c r="BP11" s="93">
        <f>Amort!BI2</f>
        <v>370.81228401690305</v>
      </c>
      <c r="BQ11" s="93">
        <f>Amort!BJ2</f>
        <v>372.66634543698757</v>
      </c>
      <c r="BR11" s="102">
        <f>Amort!BK2</f>
        <v>374.52967716417248</v>
      </c>
    </row>
    <row r="12" spans="1:70" ht="6" customHeight="1" x14ac:dyDescent="0.3">
      <c r="E12" s="125"/>
      <c r="F12" s="125"/>
      <c r="G12" s="125"/>
      <c r="H12" s="125"/>
      <c r="I12" s="125"/>
      <c r="V12" s="105"/>
    </row>
    <row r="13" spans="1:70" x14ac:dyDescent="0.3">
      <c r="B13" s="157" t="s">
        <v>175</v>
      </c>
      <c r="E13" s="96">
        <f t="shared" ref="E13:E16" ca="1" si="74">SUM(K13:V13)</f>
        <v>9154.597018691391</v>
      </c>
      <c r="F13" s="96">
        <f t="shared" ref="F13:F16" ca="1" si="75">SUM(W13:AH13)</f>
        <v>12863.228192746905</v>
      </c>
      <c r="G13" s="96">
        <f t="shared" ref="G13:G16" ca="1" si="76">SUM(AI13:AT13)</f>
        <v>13656.603961189259</v>
      </c>
      <c r="H13" s="96">
        <f t="shared" ref="H13:H16" ca="1" si="77">SUM(AU13:BF13)</f>
        <v>14498.913411015448</v>
      </c>
      <c r="I13" s="96">
        <f t="shared" ref="I13:I16" ca="1" si="78">SUM(BG13:BR13)</f>
        <v>15393.17466461971</v>
      </c>
      <c r="K13" s="105">
        <f t="shared" ref="K13:AP13" ca="1" si="79">K6*LoanSize</f>
        <v>0</v>
      </c>
      <c r="L13" s="105">
        <f t="shared" ca="1" si="79"/>
        <v>0</v>
      </c>
      <c r="M13" s="105">
        <f t="shared" ca="1" si="79"/>
        <v>0</v>
      </c>
      <c r="N13" s="105">
        <f t="shared" ca="1" si="79"/>
        <v>997.00299900000005</v>
      </c>
      <c r="O13" s="105">
        <f t="shared" ca="1" si="79"/>
        <v>1001.9880139949998</v>
      </c>
      <c r="P13" s="105">
        <f t="shared" ca="1" si="79"/>
        <v>1006.9979540649747</v>
      </c>
      <c r="Q13" s="105">
        <f t="shared" ca="1" si="79"/>
        <v>1012.0329438352996</v>
      </c>
      <c r="R13" s="105">
        <f t="shared" ca="1" si="79"/>
        <v>1017.0931085544759</v>
      </c>
      <c r="S13" s="105">
        <f t="shared" ca="1" si="79"/>
        <v>1022.1785740972482</v>
      </c>
      <c r="T13" s="105">
        <f t="shared" ca="1" si="79"/>
        <v>1027.2894669677341</v>
      </c>
      <c r="U13" s="105">
        <f t="shared" ca="1" si="79"/>
        <v>1032.4259143025729</v>
      </c>
      <c r="V13" s="226">
        <f t="shared" ca="1" si="79"/>
        <v>1037.5880438740855</v>
      </c>
      <c r="W13" s="105">
        <f t="shared" ca="1" si="79"/>
        <v>1042.7759840934557</v>
      </c>
      <c r="X13" s="105">
        <f t="shared" ca="1" si="79"/>
        <v>1047.9898640139231</v>
      </c>
      <c r="Y13" s="105">
        <f t="shared" ca="1" si="79"/>
        <v>1053.2298133339925</v>
      </c>
      <c r="Z13" s="105">
        <f t="shared" ca="1" si="79"/>
        <v>1058.4959624006622</v>
      </c>
      <c r="AA13" s="105">
        <f t="shared" ca="1" si="79"/>
        <v>1063.7884422126656</v>
      </c>
      <c r="AB13" s="105">
        <f t="shared" ca="1" si="79"/>
        <v>1069.1073844237287</v>
      </c>
      <c r="AC13" s="105">
        <f t="shared" ca="1" si="79"/>
        <v>1074.4529213458472</v>
      </c>
      <c r="AD13" s="105">
        <f t="shared" ca="1" si="79"/>
        <v>1079.8251859525762</v>
      </c>
      <c r="AE13" s="105">
        <f t="shared" ca="1" si="79"/>
        <v>1085.224311882339</v>
      </c>
      <c r="AF13" s="105">
        <f t="shared" ca="1" si="79"/>
        <v>1090.6504334417505</v>
      </c>
      <c r="AG13" s="105">
        <f t="shared" ca="1" si="79"/>
        <v>1096.1036856089593</v>
      </c>
      <c r="AH13" s="226">
        <f t="shared" ca="1" si="79"/>
        <v>1101.5842040370039</v>
      </c>
      <c r="AI13" s="105">
        <f t="shared" ca="1" si="79"/>
        <v>1107.0921250571887</v>
      </c>
      <c r="AJ13" s="105">
        <f t="shared" ca="1" si="79"/>
        <v>1112.6275856824745</v>
      </c>
      <c r="AK13" s="105">
        <f t="shared" ca="1" si="79"/>
        <v>1118.1907236108871</v>
      </c>
      <c r="AL13" s="105">
        <f t="shared" ca="1" si="79"/>
        <v>1123.7816772289414</v>
      </c>
      <c r="AM13" s="105">
        <f t="shared" ca="1" si="79"/>
        <v>1129.4005856150859</v>
      </c>
      <c r="AN13" s="105">
        <f t="shared" ca="1" si="79"/>
        <v>1135.0475885431613</v>
      </c>
      <c r="AO13" s="105">
        <f t="shared" ca="1" si="79"/>
        <v>1140.7228264858768</v>
      </c>
      <c r="AP13" s="105">
        <f t="shared" ca="1" si="79"/>
        <v>1146.4264406183063</v>
      </c>
      <c r="AQ13" s="105">
        <f t="shared" ref="AQ13:BR13" ca="1" si="80">AQ6*LoanSize</f>
        <v>1152.1585728213977</v>
      </c>
      <c r="AR13" s="105">
        <f t="shared" ca="1" si="80"/>
        <v>1157.9193656855045</v>
      </c>
      <c r="AS13" s="105">
        <f t="shared" ca="1" si="80"/>
        <v>1163.7089625139317</v>
      </c>
      <c r="AT13" s="226">
        <f t="shared" ca="1" si="80"/>
        <v>1169.5275073265013</v>
      </c>
      <c r="AU13" s="105">
        <f t="shared" ca="1" si="80"/>
        <v>1175.3751448631338</v>
      </c>
      <c r="AV13" s="105">
        <f t="shared" ca="1" si="80"/>
        <v>1181.2520205874491</v>
      </c>
      <c r="AW13" s="105">
        <f t="shared" ca="1" si="80"/>
        <v>1187.1582806903864</v>
      </c>
      <c r="AX13" s="105">
        <f t="shared" ca="1" si="80"/>
        <v>1193.0940720938383</v>
      </c>
      <c r="AY13" s="105">
        <f t="shared" ca="1" si="80"/>
        <v>1199.0595424543073</v>
      </c>
      <c r="AZ13" s="105">
        <f t="shared" ca="1" si="80"/>
        <v>1205.0548401665787</v>
      </c>
      <c r="BA13" s="105">
        <f t="shared" ca="1" si="80"/>
        <v>1211.0801143674116</v>
      </c>
      <c r="BB13" s="105">
        <f t="shared" ca="1" si="80"/>
        <v>1217.1355149392484</v>
      </c>
      <c r="BC13" s="105">
        <f t="shared" ca="1" si="80"/>
        <v>1223.2211925139445</v>
      </c>
      <c r="BD13" s="105">
        <f t="shared" ca="1" si="80"/>
        <v>1229.3372984765142</v>
      </c>
      <c r="BE13" s="105">
        <f t="shared" ca="1" si="80"/>
        <v>1235.4839849688965</v>
      </c>
      <c r="BF13" s="226">
        <f t="shared" ca="1" si="80"/>
        <v>1241.6614048937411</v>
      </c>
      <c r="BG13" s="105">
        <f t="shared" ca="1" si="80"/>
        <v>1247.8697119182093</v>
      </c>
      <c r="BH13" s="105">
        <f t="shared" ca="1" si="80"/>
        <v>1254.1090604778003</v>
      </c>
      <c r="BI13" s="105">
        <f t="shared" ca="1" si="80"/>
        <v>1260.3796057801894</v>
      </c>
      <c r="BJ13" s="105">
        <f t="shared" ca="1" si="80"/>
        <v>1266.6815038090901</v>
      </c>
      <c r="BK13" s="105">
        <f t="shared" ca="1" si="80"/>
        <v>1273.0149113281352</v>
      </c>
      <c r="BL13" s="105">
        <f t="shared" ca="1" si="80"/>
        <v>1279.3799858847758</v>
      </c>
      <c r="BM13" s="105">
        <f t="shared" ca="1" si="80"/>
        <v>1285.7768858141994</v>
      </c>
      <c r="BN13" s="105">
        <f t="shared" ca="1" si="80"/>
        <v>1292.2057702432705</v>
      </c>
      <c r="BO13" s="105">
        <f t="shared" ca="1" si="80"/>
        <v>1298.6667990944866</v>
      </c>
      <c r="BP13" s="105">
        <f t="shared" ca="1" si="80"/>
        <v>1305.1601330899591</v>
      </c>
      <c r="BQ13" s="105">
        <f t="shared" ca="1" si="80"/>
        <v>1311.6859337554083</v>
      </c>
      <c r="BR13" s="226">
        <f t="shared" ca="1" si="80"/>
        <v>1318.2443634241854</v>
      </c>
    </row>
    <row r="14" spans="1:70" x14ac:dyDescent="0.3">
      <c r="B14" s="183" t="s">
        <v>184</v>
      </c>
      <c r="E14" s="96">
        <f t="shared" si="74"/>
        <v>-1791.7123105339099</v>
      </c>
      <c r="F14" s="96">
        <f t="shared" si="75"/>
        <v>-2551.7101257046438</v>
      </c>
      <c r="G14" s="96">
        <f t="shared" si="76"/>
        <v>-2773.7343031619839</v>
      </c>
      <c r="H14" s="96">
        <f t="shared" si="77"/>
        <v>-2876.1850142302719</v>
      </c>
      <c r="I14" s="96">
        <f t="shared" si="78"/>
        <v>-3053.5818124254547</v>
      </c>
      <c r="K14" s="105">
        <f>-Amort!D4</f>
        <v>0</v>
      </c>
      <c r="L14" s="105">
        <f>-Amort!E4</f>
        <v>0</v>
      </c>
      <c r="M14" s="105">
        <f>-Amort!F4</f>
        <v>0</v>
      </c>
      <c r="N14" s="105">
        <f>-Amort!G4</f>
        <v>-199.35673548494606</v>
      </c>
      <c r="O14" s="105">
        <f>-Amort!H4</f>
        <v>-195.58722784754829</v>
      </c>
      <c r="P14" s="105">
        <f>-Amort!I4</f>
        <v>-196.56516398678596</v>
      </c>
      <c r="Q14" s="105">
        <f>-Amort!J4</f>
        <v>-197.5479898067199</v>
      </c>
      <c r="R14" s="105">
        <f>-Amort!K4</f>
        <v>-198.53572975575349</v>
      </c>
      <c r="S14" s="105">
        <f>-Amort!L4</f>
        <v>-199.52840840453223</v>
      </c>
      <c r="T14" s="105">
        <f>-Amort!M4</f>
        <v>-200.52605044655485</v>
      </c>
      <c r="U14" s="105">
        <f>-Amort!N4</f>
        <v>-201.52868069878761</v>
      </c>
      <c r="V14" s="119">
        <f>-Amort!O4</f>
        <v>-202.53632410228153</v>
      </c>
      <c r="W14" s="105">
        <f>-Amort!P4</f>
        <v>-206.85802953828161</v>
      </c>
      <c r="X14" s="105">
        <f>-Amort!Q4</f>
        <v>-207.89231968597301</v>
      </c>
      <c r="Y14" s="105">
        <f>-Amort!R4</f>
        <v>-208.93178128440283</v>
      </c>
      <c r="Z14" s="105">
        <f>-Amort!S4</f>
        <v>-209.97644019082477</v>
      </c>
      <c r="AA14" s="105">
        <f>-Amort!T4</f>
        <v>-211.02632239177893</v>
      </c>
      <c r="AB14" s="105">
        <f>-Amort!U4</f>
        <v>-212.0814540037378</v>
      </c>
      <c r="AC14" s="105">
        <f>-Amort!V4</f>
        <v>-213.14186127375643</v>
      </c>
      <c r="AD14" s="105">
        <f>-Amort!W4</f>
        <v>-214.20757058012524</v>
      </c>
      <c r="AE14" s="105">
        <f>-Amort!X4</f>
        <v>-215.27860843302579</v>
      </c>
      <c r="AF14" s="105">
        <f>-Amort!Y4</f>
        <v>-216.35500147519087</v>
      </c>
      <c r="AG14" s="105">
        <f>-Amort!Z4</f>
        <v>-217.43677648256681</v>
      </c>
      <c r="AH14" s="119">
        <f>-Amort!AA4</f>
        <v>-218.52396036497964</v>
      </c>
      <c r="AI14" s="105">
        <f>-Amort!AB4</f>
        <v>-219.61658016680451</v>
      </c>
      <c r="AJ14" s="105">
        <f>-Amort!AC4</f>
        <v>-220.71466306763853</v>
      </c>
      <c r="AK14" s="105">
        <f>-Amort!AD4</f>
        <v>-221.81823638297669</v>
      </c>
      <c r="AL14" s="105">
        <f>-Amort!AE4</f>
        <v>-222.92732756489156</v>
      </c>
      <c r="AM14" s="105">
        <f>-Amort!AF4</f>
        <v>-288.68224459410982</v>
      </c>
      <c r="AN14" s="105">
        <f>-Amort!AG4</f>
        <v>-225.16217402372956</v>
      </c>
      <c r="AO14" s="105">
        <f>-Amort!AH4</f>
        <v>-226.28798489384818</v>
      </c>
      <c r="AP14" s="105">
        <f>-Amort!AI4</f>
        <v>-227.41942481831734</v>
      </c>
      <c r="AQ14" s="105">
        <f>-Amort!AJ4</f>
        <v>-228.55652194240898</v>
      </c>
      <c r="AR14" s="105">
        <f>-Amort!AK4</f>
        <v>-229.69930455212099</v>
      </c>
      <c r="AS14" s="105">
        <f>-Amort!AL4</f>
        <v>-230.84780107488154</v>
      </c>
      <c r="AT14" s="119">
        <f>-Amort!AM4</f>
        <v>-232.00204008025594</v>
      </c>
      <c r="AU14" s="105">
        <f>-Amort!AN4</f>
        <v>-233.16205028065721</v>
      </c>
      <c r="AV14" s="105">
        <f>-Amort!AO4</f>
        <v>-234.32786053206047</v>
      </c>
      <c r="AW14" s="105">
        <f>-Amort!AP4</f>
        <v>-235.49949983472075</v>
      </c>
      <c r="AX14" s="105">
        <f>-Amort!AQ4</f>
        <v>-236.67699733389438</v>
      </c>
      <c r="AY14" s="105">
        <f>-Amort!AR4</f>
        <v>-237.86038232056376</v>
      </c>
      <c r="AZ14" s="105">
        <f>-Amort!AS4</f>
        <v>-239.04968423216656</v>
      </c>
      <c r="BA14" s="105">
        <f>-Amort!AT4</f>
        <v>-240.24493265332737</v>
      </c>
      <c r="BB14" s="105">
        <f>-Amort!AU4</f>
        <v>-241.44615731659397</v>
      </c>
      <c r="BC14" s="105">
        <f>-Amort!AV4</f>
        <v>-242.65338810317695</v>
      </c>
      <c r="BD14" s="105">
        <f>-Amort!AW4</f>
        <v>-243.86665504369276</v>
      </c>
      <c r="BE14" s="105">
        <f>-Amort!AX4</f>
        <v>-245.08598831891123</v>
      </c>
      <c r="BF14" s="119">
        <f>-Amort!AY4</f>
        <v>-246.31141826050577</v>
      </c>
      <c r="BG14" s="105">
        <f>-Amort!AZ4</f>
        <v>-247.54297535180822</v>
      </c>
      <c r="BH14" s="105">
        <f>-Amort!BA4</f>
        <v>-248.78069022856727</v>
      </c>
      <c r="BI14" s="105">
        <f>-Amort!BB4</f>
        <v>-250.02459367971011</v>
      </c>
      <c r="BJ14" s="105">
        <f>-Amort!BC4</f>
        <v>-251.27471664810861</v>
      </c>
      <c r="BK14" s="105">
        <f>-Amort!BD4</f>
        <v>-252.53109023134914</v>
      </c>
      <c r="BL14" s="105">
        <f>-Amort!BE4</f>
        <v>-253.79374568250583</v>
      </c>
      <c r="BM14" s="105">
        <f>-Amort!BF4</f>
        <v>-255.06271441091837</v>
      </c>
      <c r="BN14" s="105">
        <f>-Amort!BG4</f>
        <v>-256.33802798297285</v>
      </c>
      <c r="BO14" s="105">
        <f>-Amort!BH4</f>
        <v>-257.61971812288772</v>
      </c>
      <c r="BP14" s="105">
        <f>-Amort!BI4</f>
        <v>-258.90781671350214</v>
      </c>
      <c r="BQ14" s="105">
        <f>-Amort!BJ4</f>
        <v>-260.20235579706963</v>
      </c>
      <c r="BR14" s="119">
        <f>-Amort!BK4</f>
        <v>-261.50336757605487</v>
      </c>
    </row>
    <row r="15" spans="1:70" x14ac:dyDescent="0.3">
      <c r="B15" s="158" t="s">
        <v>176</v>
      </c>
      <c r="E15" s="136">
        <f t="shared" ca="1" si="74"/>
        <v>7362.8847081574804</v>
      </c>
      <c r="F15" s="136">
        <f t="shared" ca="1" si="75"/>
        <v>10311.51806704226</v>
      </c>
      <c r="G15" s="136">
        <f t="shared" ca="1" si="76"/>
        <v>10882.869658027274</v>
      </c>
      <c r="H15" s="136">
        <f t="shared" ca="1" si="77"/>
        <v>11622.728396785178</v>
      </c>
      <c r="I15" s="136">
        <f t="shared" ca="1" si="78"/>
        <v>12339.592852194255</v>
      </c>
      <c r="K15" s="156">
        <f ca="1">SUM(K13:K14)</f>
        <v>0</v>
      </c>
      <c r="L15" s="156">
        <f ca="1">SUM(L13:L14)</f>
        <v>0</v>
      </c>
      <c r="M15" s="156">
        <f t="shared" ref="M15:BR15" ca="1" si="81">SUM(M13:M14)</f>
        <v>0</v>
      </c>
      <c r="N15" s="156">
        <f ca="1">SUM(N13:N14)</f>
        <v>797.64626351505399</v>
      </c>
      <c r="O15" s="156">
        <f t="shared" ca="1" si="81"/>
        <v>806.40078614745153</v>
      </c>
      <c r="P15" s="156">
        <f t="shared" ca="1" si="81"/>
        <v>810.43279007818876</v>
      </c>
      <c r="Q15" s="156">
        <f t="shared" ca="1" si="81"/>
        <v>814.48495402857975</v>
      </c>
      <c r="R15" s="156">
        <f t="shared" ca="1" si="81"/>
        <v>818.55737879872231</v>
      </c>
      <c r="S15" s="156">
        <f t="shared" ca="1" si="81"/>
        <v>822.65016569271597</v>
      </c>
      <c r="T15" s="156">
        <f t="shared" ca="1" si="81"/>
        <v>826.76341652117935</v>
      </c>
      <c r="U15" s="156">
        <f t="shared" ca="1" si="81"/>
        <v>830.89723360378525</v>
      </c>
      <c r="V15" s="197">
        <f t="shared" ca="1" si="81"/>
        <v>835.05171977180407</v>
      </c>
      <c r="W15" s="156">
        <f t="shared" ca="1" si="81"/>
        <v>835.91795455517411</v>
      </c>
      <c r="X15" s="156">
        <f t="shared" ca="1" si="81"/>
        <v>840.09754432795012</v>
      </c>
      <c r="Y15" s="156">
        <f t="shared" ca="1" si="81"/>
        <v>844.29803204958966</v>
      </c>
      <c r="Z15" s="156">
        <f t="shared" ca="1" si="81"/>
        <v>848.51952220983742</v>
      </c>
      <c r="AA15" s="156">
        <f t="shared" ca="1" si="81"/>
        <v>852.76211982088671</v>
      </c>
      <c r="AB15" s="156">
        <f t="shared" ca="1" si="81"/>
        <v>857.02593041999091</v>
      </c>
      <c r="AC15" s="156">
        <f t="shared" ca="1" si="81"/>
        <v>861.31106007209087</v>
      </c>
      <c r="AD15" s="156">
        <f t="shared" ca="1" si="81"/>
        <v>865.61761537245104</v>
      </c>
      <c r="AE15" s="156">
        <f t="shared" ca="1" si="81"/>
        <v>869.94570344931321</v>
      </c>
      <c r="AF15" s="156">
        <f t="shared" ca="1" si="81"/>
        <v>874.29543196655959</v>
      </c>
      <c r="AG15" s="156">
        <f t="shared" ca="1" si="81"/>
        <v>878.66690912639251</v>
      </c>
      <c r="AH15" s="197">
        <f t="shared" ca="1" si="81"/>
        <v>883.06024367202428</v>
      </c>
      <c r="AI15" s="156">
        <f t="shared" ca="1" si="81"/>
        <v>887.47554489038419</v>
      </c>
      <c r="AJ15" s="156">
        <f t="shared" ca="1" si="81"/>
        <v>891.91292261483602</v>
      </c>
      <c r="AK15" s="156">
        <f t="shared" ca="1" si="81"/>
        <v>896.37248722791037</v>
      </c>
      <c r="AL15" s="156">
        <f t="shared" ca="1" si="81"/>
        <v>900.85434966404978</v>
      </c>
      <c r="AM15" s="156">
        <f t="shared" ca="1" si="81"/>
        <v>840.71834102097614</v>
      </c>
      <c r="AN15" s="156">
        <f t="shared" ca="1" si="81"/>
        <v>909.88541451943172</v>
      </c>
      <c r="AO15" s="156">
        <f t="shared" ca="1" si="81"/>
        <v>914.43484159202865</v>
      </c>
      <c r="AP15" s="156">
        <f t="shared" ca="1" si="81"/>
        <v>919.00701579998895</v>
      </c>
      <c r="AQ15" s="156">
        <f t="shared" ca="1" si="81"/>
        <v>923.60205087898873</v>
      </c>
      <c r="AR15" s="156">
        <f t="shared" ca="1" si="81"/>
        <v>928.22006113338352</v>
      </c>
      <c r="AS15" s="156">
        <f t="shared" ca="1" si="81"/>
        <v>932.86116143905019</v>
      </c>
      <c r="AT15" s="197">
        <f t="shared" ca="1" si="81"/>
        <v>937.5254672462454</v>
      </c>
      <c r="AU15" s="156">
        <f t="shared" ca="1" si="81"/>
        <v>942.21309458247651</v>
      </c>
      <c r="AV15" s="156">
        <f t="shared" ca="1" si="81"/>
        <v>946.92416005538871</v>
      </c>
      <c r="AW15" s="156">
        <f t="shared" ca="1" si="81"/>
        <v>951.65878085566567</v>
      </c>
      <c r="AX15" s="156">
        <f t="shared" ca="1" si="81"/>
        <v>956.41707475994394</v>
      </c>
      <c r="AY15" s="156">
        <f t="shared" ca="1" si="81"/>
        <v>961.19916013374359</v>
      </c>
      <c r="AZ15" s="156">
        <f t="shared" ca="1" si="81"/>
        <v>966.00515593441219</v>
      </c>
      <c r="BA15" s="156">
        <f t="shared" ca="1" si="81"/>
        <v>970.83518171408423</v>
      </c>
      <c r="BB15" s="156">
        <f t="shared" ca="1" si="81"/>
        <v>975.68935762265448</v>
      </c>
      <c r="BC15" s="156">
        <f t="shared" ca="1" si="81"/>
        <v>980.56780441076762</v>
      </c>
      <c r="BD15" s="156">
        <f t="shared" ca="1" si="81"/>
        <v>985.47064343282148</v>
      </c>
      <c r="BE15" s="156">
        <f t="shared" ca="1" si="81"/>
        <v>990.39799664998532</v>
      </c>
      <c r="BF15" s="197">
        <f t="shared" ca="1" si="81"/>
        <v>995.34998663323529</v>
      </c>
      <c r="BG15" s="156">
        <f t="shared" ca="1" si="81"/>
        <v>1000.3267365664011</v>
      </c>
      <c r="BH15" s="156">
        <f t="shared" ca="1" si="81"/>
        <v>1005.3283702492331</v>
      </c>
      <c r="BI15" s="156">
        <f t="shared" ca="1" si="81"/>
        <v>1010.3550121004794</v>
      </c>
      <c r="BJ15" s="156">
        <f t="shared" ca="1" si="81"/>
        <v>1015.4067871609816</v>
      </c>
      <c r="BK15" s="156">
        <f t="shared" ca="1" si="81"/>
        <v>1020.4838210967861</v>
      </c>
      <c r="BL15" s="156">
        <f t="shared" ca="1" si="81"/>
        <v>1025.5862402022699</v>
      </c>
      <c r="BM15" s="156">
        <f t="shared" ca="1" si="81"/>
        <v>1030.7141714032809</v>
      </c>
      <c r="BN15" s="156">
        <f t="shared" ca="1" si="81"/>
        <v>1035.8677422602977</v>
      </c>
      <c r="BO15" s="156">
        <f t="shared" ca="1" si="81"/>
        <v>1041.0470809715989</v>
      </c>
      <c r="BP15" s="156">
        <f t="shared" ca="1" si="81"/>
        <v>1046.252316376457</v>
      </c>
      <c r="BQ15" s="156">
        <f t="shared" ca="1" si="81"/>
        <v>1051.4835779583386</v>
      </c>
      <c r="BR15" s="197">
        <f t="shared" ca="1" si="81"/>
        <v>1056.7409958481305</v>
      </c>
    </row>
    <row r="16" spans="1:70" s="103" customFormat="1" x14ac:dyDescent="0.3">
      <c r="A16" s="2"/>
      <c r="B16" s="101" t="s">
        <v>220</v>
      </c>
      <c r="C16" s="212"/>
      <c r="D16" s="212"/>
      <c r="E16" s="103">
        <f t="shared" ca="1" si="74"/>
        <v>184.07211770393707</v>
      </c>
      <c r="F16" s="103">
        <f t="shared" ca="1" si="75"/>
        <v>257.78795167605654</v>
      </c>
      <c r="G16" s="103">
        <f t="shared" ca="1" si="76"/>
        <v>272.07174145068188</v>
      </c>
      <c r="H16" s="103">
        <f t="shared" ca="1" si="77"/>
        <v>290.56820991962945</v>
      </c>
      <c r="I16" s="103">
        <f t="shared" ca="1" si="78"/>
        <v>308.48982130485638</v>
      </c>
      <c r="J16" s="102"/>
      <c r="K16" s="93">
        <f ca="1">K15*LoanSalePremium</f>
        <v>0</v>
      </c>
      <c r="L16" s="93">
        <f t="shared" ref="L16:BR16" ca="1" si="82">L15*LoanSalePremium</f>
        <v>0</v>
      </c>
      <c r="M16" s="93">
        <f t="shared" ca="1" si="82"/>
        <v>0</v>
      </c>
      <c r="N16" s="93">
        <f ca="1">N15*LoanSalePremium</f>
        <v>19.94115658787635</v>
      </c>
      <c r="O16" s="93">
        <f t="shared" ca="1" si="82"/>
        <v>20.160019653686291</v>
      </c>
      <c r="P16" s="93">
        <f t="shared" ca="1" si="82"/>
        <v>20.26081975195472</v>
      </c>
      <c r="Q16" s="93">
        <f t="shared" ca="1" si="82"/>
        <v>20.362123850714497</v>
      </c>
      <c r="R16" s="93">
        <f t="shared" ca="1" si="82"/>
        <v>20.463934469968059</v>
      </c>
      <c r="S16" s="93">
        <f t="shared" ca="1" si="82"/>
        <v>20.566254142317902</v>
      </c>
      <c r="T16" s="93">
        <f t="shared" ca="1" si="82"/>
        <v>20.669085413029485</v>
      </c>
      <c r="U16" s="93">
        <f t="shared" ca="1" si="82"/>
        <v>20.772430840094632</v>
      </c>
      <c r="V16" s="102">
        <f t="shared" ca="1" si="82"/>
        <v>20.876292994295103</v>
      </c>
      <c r="W16" s="93">
        <f t="shared" ca="1" si="82"/>
        <v>20.897948863879353</v>
      </c>
      <c r="X16" s="93">
        <f t="shared" ca="1" si="82"/>
        <v>21.002438608198755</v>
      </c>
      <c r="Y16" s="93">
        <f t="shared" ca="1" si="82"/>
        <v>21.107450801239743</v>
      </c>
      <c r="Z16" s="93">
        <f t="shared" ca="1" si="82"/>
        <v>21.212988055245937</v>
      </c>
      <c r="AA16" s="93">
        <f t="shared" ca="1" si="82"/>
        <v>21.319052995522171</v>
      </c>
      <c r="AB16" s="93">
        <f t="shared" ca="1" si="82"/>
        <v>21.425648260499774</v>
      </c>
      <c r="AC16" s="93">
        <f t="shared" ca="1" si="82"/>
        <v>21.532776501802275</v>
      </c>
      <c r="AD16" s="93">
        <f t="shared" ca="1" si="82"/>
        <v>21.640440384311276</v>
      </c>
      <c r="AE16" s="93">
        <f t="shared" ca="1" si="82"/>
        <v>21.748642586232833</v>
      </c>
      <c r="AF16" s="93">
        <f t="shared" ca="1" si="82"/>
        <v>21.857385799163993</v>
      </c>
      <c r="AG16" s="93">
        <f t="shared" ca="1" si="82"/>
        <v>21.966672728159814</v>
      </c>
      <c r="AH16" s="102">
        <f t="shared" ca="1" si="82"/>
        <v>22.07650609180061</v>
      </c>
      <c r="AI16" s="93">
        <f t="shared" ca="1" si="82"/>
        <v>22.186888622259605</v>
      </c>
      <c r="AJ16" s="93">
        <f t="shared" ca="1" si="82"/>
        <v>22.297823065370903</v>
      </c>
      <c r="AK16" s="93">
        <f t="shared" ca="1" si="82"/>
        <v>22.409312180697761</v>
      </c>
      <c r="AL16" s="93">
        <f t="shared" ca="1" si="82"/>
        <v>22.521358741601247</v>
      </c>
      <c r="AM16" s="93">
        <f t="shared" ca="1" si="82"/>
        <v>21.017958525524406</v>
      </c>
      <c r="AN16" s="93">
        <f t="shared" ca="1" si="82"/>
        <v>22.747135362985794</v>
      </c>
      <c r="AO16" s="93">
        <f t="shared" ca="1" si="82"/>
        <v>22.860871039800717</v>
      </c>
      <c r="AP16" s="93">
        <f t="shared" ca="1" si="82"/>
        <v>22.975175394999724</v>
      </c>
      <c r="AQ16" s="93">
        <f t="shared" ca="1" si="82"/>
        <v>23.090051271974719</v>
      </c>
      <c r="AR16" s="93">
        <f t="shared" ca="1" si="82"/>
        <v>23.20550152833459</v>
      </c>
      <c r="AS16" s="93">
        <f t="shared" ca="1" si="82"/>
        <v>23.321529035976255</v>
      </c>
      <c r="AT16" s="102">
        <f t="shared" ca="1" si="82"/>
        <v>23.438136681156138</v>
      </c>
      <c r="AU16" s="93">
        <f t="shared" ca="1" si="82"/>
        <v>23.555327364561915</v>
      </c>
      <c r="AV16" s="93">
        <f t="shared" ca="1" si="82"/>
        <v>23.673104001384718</v>
      </c>
      <c r="AW16" s="93">
        <f t="shared" ca="1" si="82"/>
        <v>23.791469521391644</v>
      </c>
      <c r="AX16" s="93">
        <f t="shared" ca="1" si="82"/>
        <v>23.910426868998599</v>
      </c>
      <c r="AY16" s="93">
        <f t="shared" ca="1" si="82"/>
        <v>24.029979003343591</v>
      </c>
      <c r="AZ16" s="93">
        <f t="shared" ca="1" si="82"/>
        <v>24.150128898360308</v>
      </c>
      <c r="BA16" s="93">
        <f t="shared" ca="1" si="82"/>
        <v>24.270879542852107</v>
      </c>
      <c r="BB16" s="93">
        <f t="shared" ca="1" si="82"/>
        <v>24.392233940566364</v>
      </c>
      <c r="BC16" s="93">
        <f t="shared" ca="1" si="82"/>
        <v>24.514195110269192</v>
      </c>
      <c r="BD16" s="93">
        <f t="shared" ca="1" si="82"/>
        <v>24.63676608582054</v>
      </c>
      <c r="BE16" s="93">
        <f t="shared" ca="1" si="82"/>
        <v>24.759949916249635</v>
      </c>
      <c r="BF16" s="102">
        <f t="shared" ca="1" si="82"/>
        <v>24.883749665830884</v>
      </c>
      <c r="BG16" s="93">
        <f t="shared" ca="1" si="82"/>
        <v>25.008168414160028</v>
      </c>
      <c r="BH16" s="93">
        <f t="shared" ca="1" si="82"/>
        <v>25.133209256230828</v>
      </c>
      <c r="BI16" s="93">
        <f t="shared" ca="1" si="82"/>
        <v>25.258875302511985</v>
      </c>
      <c r="BJ16" s="93">
        <f t="shared" ca="1" si="82"/>
        <v>25.385169679024543</v>
      </c>
      <c r="BK16" s="93">
        <f t="shared" ca="1" si="82"/>
        <v>25.512095527419653</v>
      </c>
      <c r="BL16" s="93">
        <f t="shared" ca="1" si="82"/>
        <v>25.63965600505675</v>
      </c>
      <c r="BM16" s="93">
        <f t="shared" ca="1" si="82"/>
        <v>25.767854285082024</v>
      </c>
      <c r="BN16" s="93">
        <f t="shared" ca="1" si="82"/>
        <v>25.896693556507444</v>
      </c>
      <c r="BO16" s="93">
        <f t="shared" ca="1" si="82"/>
        <v>26.026177024289975</v>
      </c>
      <c r="BP16" s="93">
        <f t="shared" ca="1" si="82"/>
        <v>26.156307909411424</v>
      </c>
      <c r="BQ16" s="93">
        <f t="shared" ca="1" si="82"/>
        <v>26.287089448958469</v>
      </c>
      <c r="BR16" s="102">
        <f t="shared" ca="1" si="82"/>
        <v>26.418524896203266</v>
      </c>
    </row>
    <row r="17" spans="1:70" ht="6" customHeight="1" x14ac:dyDescent="0.3">
      <c r="E17" s="125"/>
      <c r="F17" s="125"/>
      <c r="G17" s="125"/>
      <c r="H17" s="125"/>
      <c r="I17" s="125"/>
      <c r="V17" s="105"/>
    </row>
    <row r="18" spans="1:70" s="94" customFormat="1" x14ac:dyDescent="0.3">
      <c r="A18" s="164"/>
      <c r="B18" s="259" t="s">
        <v>204</v>
      </c>
      <c r="C18" s="93"/>
      <c r="D18" s="93"/>
      <c r="E18" s="94">
        <f ca="1">V18</f>
        <v>14598.99613059229</v>
      </c>
      <c r="F18" s="94">
        <f ca="1">AH18</f>
        <v>17228.853519186658</v>
      </c>
      <c r="G18" s="94">
        <f ca="1">AT18</f>
        <v>16994.68824028318</v>
      </c>
      <c r="H18" s="94">
        <f ca="1">BF18</f>
        <v>17232.494400253625</v>
      </c>
      <c r="I18" s="94">
        <f ca="1">BR18</f>
        <v>17217.106897124315</v>
      </c>
      <c r="J18" s="93"/>
      <c r="K18" s="105"/>
      <c r="L18" s="105">
        <f t="shared" ref="L18:AQ18" ca="1" si="83">K23</f>
        <v>2375.4855455869674</v>
      </c>
      <c r="M18" s="105">
        <f t="shared" ca="1" si="83"/>
        <v>4639.8928317982836</v>
      </c>
      <c r="N18" s="105">
        <f t="shared" ca="1" si="83"/>
        <v>6790.9539033831561</v>
      </c>
      <c r="O18" s="105">
        <f t="shared" ca="1" si="83"/>
        <v>8028.7169716616345</v>
      </c>
      <c r="P18" s="105">
        <f t="shared" ca="1" si="83"/>
        <v>9192.1215273880443</v>
      </c>
      <c r="Q18" s="105">
        <f t="shared" ca="1" si="83"/>
        <v>10283.364858265906</v>
      </c>
      <c r="R18" s="105">
        <f t="shared" ca="1" si="83"/>
        <v>11300.994215090492</v>
      </c>
      <c r="S18" s="105">
        <f t="shared" ca="1" si="83"/>
        <v>12243.532866708625</v>
      </c>
      <c r="T18" s="105">
        <f t="shared" ca="1" si="83"/>
        <v>13109.479725681656</v>
      </c>
      <c r="U18" s="105">
        <f t="shared" ca="1" si="83"/>
        <v>13895.129987829789</v>
      </c>
      <c r="V18" s="125">
        <f t="shared" ca="1" si="83"/>
        <v>14598.99613059229</v>
      </c>
      <c r="W18" s="105">
        <f t="shared" ca="1" si="83"/>
        <v>15219.567975974614</v>
      </c>
      <c r="X18" s="105">
        <f t="shared" ca="1" si="83"/>
        <v>15758.621389960876</v>
      </c>
      <c r="Y18" s="105">
        <f t="shared" ca="1" si="83"/>
        <v>16212.053909899045</v>
      </c>
      <c r="Z18" s="105">
        <f t="shared" ca="1" si="83"/>
        <v>16578.255304213482</v>
      </c>
      <c r="AA18" s="105">
        <f t="shared" ca="1" si="83"/>
        <v>16855.590095986852</v>
      </c>
      <c r="AB18" s="105">
        <f t="shared" ca="1" si="83"/>
        <v>17042.397188056239</v>
      </c>
      <c r="AC18" s="105">
        <f t="shared" ca="1" si="83"/>
        <v>17136.989482635716</v>
      </c>
      <c r="AD18" s="105">
        <f t="shared" ca="1" si="83"/>
        <v>17231.653977546765</v>
      </c>
      <c r="AE18" s="105">
        <f t="shared" ca="1" si="83"/>
        <v>17231.870524432539</v>
      </c>
      <c r="AF18" s="105">
        <f t="shared" ca="1" si="83"/>
        <v>17231.435515156154</v>
      </c>
      <c r="AG18" s="105">
        <f t="shared" ca="1" si="83"/>
        <v>17230.409058054287</v>
      </c>
      <c r="AH18" s="125">
        <f t="shared" ca="1" si="83"/>
        <v>17228.853519186658</v>
      </c>
      <c r="AI18" s="105">
        <f t="shared" ca="1" si="83"/>
        <v>17226.833577787984</v>
      </c>
      <c r="AJ18" s="105">
        <f t="shared" ca="1" si="83"/>
        <v>17224.416282876555</v>
      </c>
      <c r="AK18" s="105">
        <f t="shared" ca="1" si="83"/>
        <v>17178.011281585077</v>
      </c>
      <c r="AL18" s="105">
        <f t="shared" ca="1" si="83"/>
        <v>17133.548234029819</v>
      </c>
      <c r="AM18" s="105">
        <f t="shared" ca="1" si="83"/>
        <v>17091.127692583905</v>
      </c>
      <c r="AN18" s="105">
        <f t="shared" ca="1" si="83"/>
        <v>17115.671130773353</v>
      </c>
      <c r="AO18" s="105">
        <f t="shared" ca="1" si="83"/>
        <v>17091.809205112797</v>
      </c>
      <c r="AP18" s="105">
        <f t="shared" ca="1" si="83"/>
        <v>17069.403815541249</v>
      </c>
      <c r="AQ18" s="105">
        <f t="shared" ca="1" si="83"/>
        <v>17048.471808309645</v>
      </c>
      <c r="AR18" s="105">
        <f t="shared" ref="AR18:BR18" ca="1" si="84">AQ23</f>
        <v>17029.030274736779</v>
      </c>
      <c r="AS18" s="105">
        <f t="shared" ca="1" si="84"/>
        <v>17011.096554717798</v>
      </c>
      <c r="AT18" s="125">
        <f t="shared" ca="1" si="84"/>
        <v>16994.68824028318</v>
      </c>
      <c r="AU18" s="105">
        <f t="shared" ca="1" si="84"/>
        <v>16979.823179208874</v>
      </c>
      <c r="AV18" s="105">
        <f t="shared" ca="1" si="84"/>
        <v>16966.519478678401</v>
      </c>
      <c r="AW18" s="105">
        <f t="shared" ca="1" si="84"/>
        <v>16954.795508997609</v>
      </c>
      <c r="AX18" s="105">
        <f t="shared" ca="1" si="84"/>
        <v>16944.669907362877</v>
      </c>
      <c r="AY18" s="105">
        <f t="shared" ca="1" si="84"/>
        <v>16936.161581683515</v>
      </c>
      <c r="AZ18" s="105">
        <f t="shared" ca="1" si="84"/>
        <v>16929.289714459152</v>
      </c>
      <c r="BA18" s="105">
        <f t="shared" ca="1" si="84"/>
        <v>17030.770383497649</v>
      </c>
      <c r="BB18" s="105">
        <f t="shared" ca="1" si="84"/>
        <v>17133.713322317024</v>
      </c>
      <c r="BC18" s="105">
        <f t="shared" ca="1" si="84"/>
        <v>17238.138881103816</v>
      </c>
      <c r="BD18" s="105">
        <f t="shared" ca="1" si="84"/>
        <v>17236.178935374293</v>
      </c>
      <c r="BE18" s="105">
        <f t="shared" ca="1" si="84"/>
        <v>17234.297340556255</v>
      </c>
      <c r="BF18" s="125">
        <f t="shared" ca="1" si="84"/>
        <v>17232.494400253625</v>
      </c>
      <c r="BG18" s="105">
        <f t="shared" ca="1" si="84"/>
        <v>17230.77041967649</v>
      </c>
      <c r="BH18" s="105">
        <f t="shared" ca="1" si="84"/>
        <v>17229.125705649047</v>
      </c>
      <c r="BI18" s="105">
        <f t="shared" ca="1" si="84"/>
        <v>17227.560566617591</v>
      </c>
      <c r="BJ18" s="105">
        <f t="shared" ca="1" si="84"/>
        <v>17226.075312658533</v>
      </c>
      <c r="BK18" s="105">
        <f t="shared" ca="1" si="84"/>
        <v>17224.670255486475</v>
      </c>
      <c r="BL18" s="105">
        <f t="shared" ca="1" si="84"/>
        <v>17223.345708462293</v>
      </c>
      <c r="BM18" s="105">
        <f t="shared" ca="1" si="84"/>
        <v>17222.10198660129</v>
      </c>
      <c r="BN18" s="105">
        <f t="shared" ca="1" si="84"/>
        <v>17220.93940658139</v>
      </c>
      <c r="BO18" s="105">
        <f t="shared" ca="1" si="84"/>
        <v>17219.85828675134</v>
      </c>
      <c r="BP18" s="105">
        <f t="shared" ca="1" si="84"/>
        <v>17218.858947139004</v>
      </c>
      <c r="BQ18" s="105">
        <f t="shared" ca="1" si="84"/>
        <v>17217.94170945965</v>
      </c>
      <c r="BR18" s="125">
        <f t="shared" ca="1" si="84"/>
        <v>17217.106897124315</v>
      </c>
    </row>
    <row r="19" spans="1:70" s="94" customFormat="1" x14ac:dyDescent="0.3">
      <c r="A19" s="164"/>
      <c r="B19" s="259" t="s">
        <v>15</v>
      </c>
      <c r="C19" s="93"/>
      <c r="D19" s="93"/>
      <c r="E19" s="103"/>
      <c r="F19" s="103"/>
      <c r="G19" s="103"/>
      <c r="H19" s="103"/>
      <c r="I19" s="103"/>
      <c r="J19" s="93"/>
      <c r="K19" s="105">
        <f t="shared" ref="K19:AP19" si="85">K5*LoanSize</f>
        <v>2500</v>
      </c>
      <c r="L19" s="105">
        <f t="shared" si="85"/>
        <v>2512.4999999999995</v>
      </c>
      <c r="M19" s="105">
        <f t="shared" si="85"/>
        <v>2525.0624999999991</v>
      </c>
      <c r="N19" s="105">
        <f t="shared" si="85"/>
        <v>2537.6878124999989</v>
      </c>
      <c r="O19" s="105">
        <f t="shared" si="85"/>
        <v>2550.376251562499</v>
      </c>
      <c r="P19" s="105">
        <f t="shared" si="85"/>
        <v>2563.1281328203108</v>
      </c>
      <c r="Q19" s="105">
        <f t="shared" si="85"/>
        <v>2575.9437734844118</v>
      </c>
      <c r="R19" s="105">
        <f t="shared" si="85"/>
        <v>2588.8234923518335</v>
      </c>
      <c r="S19" s="105">
        <f t="shared" si="85"/>
        <v>2601.7676098135926</v>
      </c>
      <c r="T19" s="105">
        <f t="shared" si="85"/>
        <v>2614.77644786266</v>
      </c>
      <c r="U19" s="105">
        <f t="shared" si="85"/>
        <v>2627.8503301019732</v>
      </c>
      <c r="V19" s="125">
        <f t="shared" si="85"/>
        <v>2640.9895817524825</v>
      </c>
      <c r="W19" s="105">
        <f t="shared" si="85"/>
        <v>2654.1945296612448</v>
      </c>
      <c r="X19" s="105">
        <f t="shared" si="85"/>
        <v>2667.4655023095506</v>
      </c>
      <c r="Y19" s="105">
        <f t="shared" si="85"/>
        <v>2680.8028298210979</v>
      </c>
      <c r="Z19" s="105">
        <f t="shared" si="85"/>
        <v>2694.2068439702034</v>
      </c>
      <c r="AA19" s="105">
        <f t="shared" si="85"/>
        <v>2707.6778781900539</v>
      </c>
      <c r="AB19" s="105">
        <f t="shared" si="85"/>
        <v>2721.2162675810036</v>
      </c>
      <c r="AC19" s="105">
        <f t="shared" si="85"/>
        <v>2734.8223489189086</v>
      </c>
      <c r="AD19" s="105">
        <f t="shared" si="85"/>
        <v>2748.4964606635026</v>
      </c>
      <c r="AE19" s="105">
        <f t="shared" si="85"/>
        <v>2762.2389429668201</v>
      </c>
      <c r="AF19" s="105">
        <f t="shared" si="85"/>
        <v>2776.0501376816537</v>
      </c>
      <c r="AG19" s="105">
        <f t="shared" si="85"/>
        <v>2789.9303883700618</v>
      </c>
      <c r="AH19" s="125">
        <f t="shared" si="85"/>
        <v>2803.8800403119117</v>
      </c>
      <c r="AI19" s="105">
        <f t="shared" si="85"/>
        <v>2817.8994405134713</v>
      </c>
      <c r="AJ19" s="105">
        <f t="shared" si="85"/>
        <v>2831.9889377160384</v>
      </c>
      <c r="AK19" s="105">
        <f t="shared" si="85"/>
        <v>2846.1488824046182</v>
      </c>
      <c r="AL19" s="105">
        <f t="shared" si="85"/>
        <v>2860.3796268166411</v>
      </c>
      <c r="AM19" s="105">
        <f t="shared" si="85"/>
        <v>2874.681524950724</v>
      </c>
      <c r="AN19" s="105">
        <f t="shared" si="85"/>
        <v>2889.0549325754773</v>
      </c>
      <c r="AO19" s="105">
        <f t="shared" si="85"/>
        <v>2903.5002072383545</v>
      </c>
      <c r="AP19" s="105">
        <f t="shared" si="85"/>
        <v>2918.0177082745458</v>
      </c>
      <c r="AQ19" s="105">
        <f t="shared" ref="AQ19:BR19" si="86">AQ5*LoanSize</f>
        <v>2932.6077968159184</v>
      </c>
      <c r="AR19" s="105">
        <f t="shared" si="86"/>
        <v>2947.2708357999977</v>
      </c>
      <c r="AS19" s="105">
        <f t="shared" si="86"/>
        <v>2962.0071899789973</v>
      </c>
      <c r="AT19" s="125">
        <f t="shared" si="86"/>
        <v>2976.8172259288922</v>
      </c>
      <c r="AU19" s="105">
        <f t="shared" si="86"/>
        <v>2991.7013120585361</v>
      </c>
      <c r="AV19" s="105">
        <f t="shared" si="86"/>
        <v>3006.6598186188285</v>
      </c>
      <c r="AW19" s="105">
        <f t="shared" si="86"/>
        <v>3021.6931177119227</v>
      </c>
      <c r="AX19" s="105">
        <f t="shared" si="86"/>
        <v>3036.801583300482</v>
      </c>
      <c r="AY19" s="105">
        <f t="shared" si="86"/>
        <v>3051.9855912169837</v>
      </c>
      <c r="AZ19" s="105">
        <f t="shared" si="86"/>
        <v>3067.2455191730683</v>
      </c>
      <c r="BA19" s="105">
        <f t="shared" si="86"/>
        <v>3082.5817467689335</v>
      </c>
      <c r="BB19" s="105">
        <f t="shared" si="86"/>
        <v>3097.9946555027777</v>
      </c>
      <c r="BC19" s="105">
        <f t="shared" si="86"/>
        <v>3113.4846287802911</v>
      </c>
      <c r="BD19" s="105">
        <f t="shared" si="86"/>
        <v>3129.0520519241923</v>
      </c>
      <c r="BE19" s="105">
        <f t="shared" si="86"/>
        <v>3144.6973121838132</v>
      </c>
      <c r="BF19" s="125">
        <f t="shared" si="86"/>
        <v>3160.4207987447317</v>
      </c>
      <c r="BG19" s="105">
        <f t="shared" si="86"/>
        <v>3176.2229027384551</v>
      </c>
      <c r="BH19" s="105">
        <f t="shared" si="86"/>
        <v>3192.1040172521471</v>
      </c>
      <c r="BI19" s="105">
        <f t="shared" si="86"/>
        <v>3208.0645373384073</v>
      </c>
      <c r="BJ19" s="105">
        <f t="shared" si="86"/>
        <v>3224.1048600250992</v>
      </c>
      <c r="BK19" s="105">
        <f t="shared" si="86"/>
        <v>3240.2253843252238</v>
      </c>
      <c r="BL19" s="105">
        <f t="shared" si="86"/>
        <v>3256.4265112468497</v>
      </c>
      <c r="BM19" s="105">
        <f t="shared" si="86"/>
        <v>3272.7086438030838</v>
      </c>
      <c r="BN19" s="105">
        <f t="shared" si="86"/>
        <v>3289.0721870220987</v>
      </c>
      <c r="BO19" s="105">
        <f t="shared" si="86"/>
        <v>3305.5175479572085</v>
      </c>
      <c r="BP19" s="105">
        <f t="shared" si="86"/>
        <v>3322.0451356969947</v>
      </c>
      <c r="BQ19" s="105">
        <f t="shared" si="86"/>
        <v>3338.6553613754791</v>
      </c>
      <c r="BR19" s="125">
        <f t="shared" si="86"/>
        <v>3355.3486381823559</v>
      </c>
    </row>
    <row r="20" spans="1:70" x14ac:dyDescent="0.3">
      <c r="B20" s="92" t="s">
        <v>212</v>
      </c>
      <c r="E20" s="96"/>
      <c r="F20" s="96"/>
      <c r="G20" s="96"/>
      <c r="H20" s="96"/>
      <c r="I20" s="96"/>
      <c r="K20" s="105">
        <f t="shared" ref="K20:AP20" si="87">SUM(K18:K19)*MitigateDelinquency*MitigateChargeoff</f>
        <v>2.5</v>
      </c>
      <c r="L20" s="105">
        <f t="shared" ca="1" si="87"/>
        <v>4.8879855455869681</v>
      </c>
      <c r="M20" s="105">
        <f t="shared" ca="1" si="87"/>
        <v>7.1649553317982839</v>
      </c>
      <c r="N20" s="105">
        <f t="shared" ca="1" si="87"/>
        <v>9.3286417158831565</v>
      </c>
      <c r="O20" s="105">
        <f t="shared" ca="1" si="87"/>
        <v>10.579093223224135</v>
      </c>
      <c r="P20" s="105">
        <f t="shared" ca="1" si="87"/>
        <v>11.755249660208356</v>
      </c>
      <c r="Q20" s="105">
        <f t="shared" ca="1" si="87"/>
        <v>12.859308631750318</v>
      </c>
      <c r="R20" s="105">
        <f t="shared" ca="1" si="87"/>
        <v>13.889817707442328</v>
      </c>
      <c r="S20" s="105">
        <f t="shared" ca="1" si="87"/>
        <v>14.845300476522219</v>
      </c>
      <c r="T20" s="105">
        <f t="shared" ca="1" si="87"/>
        <v>15.724256173544317</v>
      </c>
      <c r="U20" s="105">
        <f t="shared" ca="1" si="87"/>
        <v>16.522980317931761</v>
      </c>
      <c r="V20" s="226">
        <f t="shared" ca="1" si="87"/>
        <v>17.239985712344772</v>
      </c>
      <c r="W20" s="105">
        <f t="shared" ca="1" si="87"/>
        <v>17.873762505635863</v>
      </c>
      <c r="X20" s="105">
        <f t="shared" ca="1" si="87"/>
        <v>18.426086892270426</v>
      </c>
      <c r="Y20" s="105">
        <f t="shared" ca="1" si="87"/>
        <v>18.892856739720145</v>
      </c>
      <c r="Z20" s="105">
        <f t="shared" ca="1" si="87"/>
        <v>19.272462148183692</v>
      </c>
      <c r="AA20" s="105">
        <f t="shared" ca="1" si="87"/>
        <v>19.56326797417691</v>
      </c>
      <c r="AB20" s="105">
        <f t="shared" ca="1" si="87"/>
        <v>19.763613455637241</v>
      </c>
      <c r="AC20" s="105">
        <f t="shared" ca="1" si="87"/>
        <v>19.871811831554623</v>
      </c>
      <c r="AD20" s="105">
        <f t="shared" ca="1" si="87"/>
        <v>19.98015043821027</v>
      </c>
      <c r="AE20" s="105">
        <f t="shared" ca="1" si="87"/>
        <v>19.994109467399358</v>
      </c>
      <c r="AF20" s="105">
        <f t="shared" ca="1" si="87"/>
        <v>20.007485652837811</v>
      </c>
      <c r="AG20" s="105">
        <f t="shared" ca="1" si="87"/>
        <v>20.020339446424352</v>
      </c>
      <c r="AH20" s="226">
        <f t="shared" ca="1" si="87"/>
        <v>20.03273355949857</v>
      </c>
      <c r="AI20" s="105">
        <f t="shared" ca="1" si="87"/>
        <v>20.044733018301457</v>
      </c>
      <c r="AJ20" s="105">
        <f t="shared" ca="1" si="87"/>
        <v>20.056405220592595</v>
      </c>
      <c r="AK20" s="105">
        <f t="shared" ca="1" si="87"/>
        <v>20.024160163989695</v>
      </c>
      <c r="AL20" s="105">
        <f t="shared" ca="1" si="87"/>
        <v>19.993927860846462</v>
      </c>
      <c r="AM20" s="105">
        <f t="shared" ca="1" si="87"/>
        <v>19.96580921753463</v>
      </c>
      <c r="AN20" s="105">
        <f t="shared" ca="1" si="87"/>
        <v>20.00472606334883</v>
      </c>
      <c r="AO20" s="105">
        <f t="shared" ca="1" si="87"/>
        <v>19.995309412351151</v>
      </c>
      <c r="AP20" s="105">
        <f t="shared" ca="1" si="87"/>
        <v>19.987421523815797</v>
      </c>
      <c r="AQ20" s="105">
        <f t="shared" ref="AQ20:BR20" ca="1" si="88">SUM(AQ18:AQ19)*MitigateDelinquency*MitigateChargeoff</f>
        <v>19.981079605125565</v>
      </c>
      <c r="AR20" s="105">
        <f t="shared" ca="1" si="88"/>
        <v>19.976301110536781</v>
      </c>
      <c r="AS20" s="105">
        <f t="shared" ca="1" si="88"/>
        <v>19.9731037446968</v>
      </c>
      <c r="AT20" s="226">
        <f t="shared" ca="1" si="88"/>
        <v>19.971505466212072</v>
      </c>
      <c r="AU20" s="105">
        <f t="shared" ca="1" si="88"/>
        <v>19.971524491267413</v>
      </c>
      <c r="AV20" s="105">
        <f t="shared" ca="1" si="88"/>
        <v>19.973179297297232</v>
      </c>
      <c r="AW20" s="105">
        <f t="shared" ca="1" si="88"/>
        <v>19.976488626709536</v>
      </c>
      <c r="AX20" s="105">
        <f t="shared" ca="1" si="88"/>
        <v>19.981471490663363</v>
      </c>
      <c r="AY20" s="105">
        <f t="shared" ca="1" si="88"/>
        <v>19.988147172900501</v>
      </c>
      <c r="AZ20" s="105">
        <f t="shared" ca="1" si="88"/>
        <v>19.996535233632223</v>
      </c>
      <c r="BA20" s="105">
        <f t="shared" ca="1" si="88"/>
        <v>20.113352130266584</v>
      </c>
      <c r="BB20" s="105">
        <f t="shared" ca="1" si="88"/>
        <v>20.231707977819806</v>
      </c>
      <c r="BC20" s="105">
        <f t="shared" ca="1" si="88"/>
        <v>20.351623509884107</v>
      </c>
      <c r="BD20" s="105">
        <f t="shared" ca="1" si="88"/>
        <v>20.365230987298489</v>
      </c>
      <c r="BE20" s="105">
        <f t="shared" ca="1" si="88"/>
        <v>20.378994652740069</v>
      </c>
      <c r="BF20" s="226">
        <f t="shared" ca="1" si="88"/>
        <v>20.392915198998359</v>
      </c>
      <c r="BG20" s="105">
        <f t="shared" ca="1" si="88"/>
        <v>20.406993322414948</v>
      </c>
      <c r="BH20" s="105">
        <f t="shared" ca="1" si="88"/>
        <v>20.421229722901195</v>
      </c>
      <c r="BI20" s="105">
        <f t="shared" ca="1" si="88"/>
        <v>20.435625103955999</v>
      </c>
      <c r="BJ20" s="105">
        <f t="shared" ca="1" si="88"/>
        <v>20.450180172683631</v>
      </c>
      <c r="BK20" s="105">
        <f t="shared" ca="1" si="88"/>
        <v>20.464895639811701</v>
      </c>
      <c r="BL20" s="105">
        <f t="shared" ca="1" si="88"/>
        <v>20.479772219709144</v>
      </c>
      <c r="BM20" s="105">
        <f t="shared" ca="1" si="88"/>
        <v>20.494810630404377</v>
      </c>
      <c r="BN20" s="105">
        <f t="shared" ca="1" si="88"/>
        <v>20.51001159360349</v>
      </c>
      <c r="BO20" s="105">
        <f t="shared" ca="1" si="88"/>
        <v>20.525375834708552</v>
      </c>
      <c r="BP20" s="105">
        <f t="shared" ca="1" si="88"/>
        <v>20.540904082836001</v>
      </c>
      <c r="BQ20" s="105">
        <f t="shared" ca="1" si="88"/>
        <v>20.556597070835132</v>
      </c>
      <c r="BR20" s="226">
        <f t="shared" ca="1" si="88"/>
        <v>20.572455535306673</v>
      </c>
    </row>
    <row r="21" spans="1:70" x14ac:dyDescent="0.3">
      <c r="B21" s="92" t="s">
        <v>206</v>
      </c>
      <c r="E21" s="96">
        <f ca="1">SUM(K21:V21)</f>
        <v>7362.8847081574804</v>
      </c>
      <c r="F21" s="96">
        <f ca="1">SUM(W21:AH21)</f>
        <v>10311.51806704226</v>
      </c>
      <c r="G21" s="96">
        <f ca="1">SUM(AI21:AT21)</f>
        <v>10882.869658027274</v>
      </c>
      <c r="H21" s="96">
        <f ca="1">SUM(AU21:BF21)</f>
        <v>11622.728396785178</v>
      </c>
      <c r="I21" s="96">
        <f ca="1">SUM(BG21:BR21)</f>
        <v>12339.592852194255</v>
      </c>
      <c r="K21" s="105">
        <f t="shared" ref="K21:M21" ca="1" si="89">K15</f>
        <v>0</v>
      </c>
      <c r="L21" s="105">
        <f t="shared" ca="1" si="89"/>
        <v>0</v>
      </c>
      <c r="M21" s="105">
        <f t="shared" ca="1" si="89"/>
        <v>0</v>
      </c>
      <c r="N21" s="105">
        <f ca="1">N15</f>
        <v>797.64626351505399</v>
      </c>
      <c r="O21" s="105">
        <f t="shared" ref="O21:BR21" ca="1" si="90">O15</f>
        <v>806.40078614745153</v>
      </c>
      <c r="P21" s="105">
        <f t="shared" ca="1" si="90"/>
        <v>810.43279007818876</v>
      </c>
      <c r="Q21" s="105">
        <f t="shared" ca="1" si="90"/>
        <v>814.48495402857975</v>
      </c>
      <c r="R21" s="105">
        <f t="shared" ca="1" si="90"/>
        <v>818.55737879872231</v>
      </c>
      <c r="S21" s="105">
        <f t="shared" ca="1" si="90"/>
        <v>822.65016569271597</v>
      </c>
      <c r="T21" s="105">
        <f t="shared" ca="1" si="90"/>
        <v>826.76341652117935</v>
      </c>
      <c r="U21" s="105">
        <f t="shared" ca="1" si="90"/>
        <v>830.89723360378525</v>
      </c>
      <c r="V21" s="119">
        <f t="shared" ca="1" si="90"/>
        <v>835.05171977180407</v>
      </c>
      <c r="W21" s="105">
        <f t="shared" ca="1" si="90"/>
        <v>835.91795455517411</v>
      </c>
      <c r="X21" s="105">
        <f t="shared" ca="1" si="90"/>
        <v>840.09754432795012</v>
      </c>
      <c r="Y21" s="105">
        <f t="shared" ca="1" si="90"/>
        <v>844.29803204958966</v>
      </c>
      <c r="Z21" s="105">
        <f t="shared" ca="1" si="90"/>
        <v>848.51952220983742</v>
      </c>
      <c r="AA21" s="105">
        <f t="shared" ca="1" si="90"/>
        <v>852.76211982088671</v>
      </c>
      <c r="AB21" s="105">
        <f t="shared" ca="1" si="90"/>
        <v>857.02593041999091</v>
      </c>
      <c r="AC21" s="105">
        <f t="shared" ca="1" si="90"/>
        <v>861.31106007209087</v>
      </c>
      <c r="AD21" s="105">
        <f t="shared" ca="1" si="90"/>
        <v>865.61761537245104</v>
      </c>
      <c r="AE21" s="105">
        <f t="shared" ca="1" si="90"/>
        <v>869.94570344931321</v>
      </c>
      <c r="AF21" s="105">
        <f t="shared" ca="1" si="90"/>
        <v>874.29543196655959</v>
      </c>
      <c r="AG21" s="105">
        <f t="shared" ca="1" si="90"/>
        <v>878.66690912639251</v>
      </c>
      <c r="AH21" s="119">
        <f t="shared" ca="1" si="90"/>
        <v>883.06024367202428</v>
      </c>
      <c r="AI21" s="105">
        <f t="shared" ca="1" si="90"/>
        <v>887.47554489038419</v>
      </c>
      <c r="AJ21" s="105">
        <f t="shared" ca="1" si="90"/>
        <v>891.91292261483602</v>
      </c>
      <c r="AK21" s="105">
        <f t="shared" ca="1" si="90"/>
        <v>896.37248722791037</v>
      </c>
      <c r="AL21" s="105">
        <f t="shared" ca="1" si="90"/>
        <v>900.85434966404978</v>
      </c>
      <c r="AM21" s="105">
        <f t="shared" ca="1" si="90"/>
        <v>840.71834102097614</v>
      </c>
      <c r="AN21" s="105">
        <f t="shared" ca="1" si="90"/>
        <v>909.88541451943172</v>
      </c>
      <c r="AO21" s="105">
        <f t="shared" ca="1" si="90"/>
        <v>914.43484159202865</v>
      </c>
      <c r="AP21" s="105">
        <f t="shared" ca="1" si="90"/>
        <v>919.00701579998895</v>
      </c>
      <c r="AQ21" s="105">
        <f t="shared" ca="1" si="90"/>
        <v>923.60205087898873</v>
      </c>
      <c r="AR21" s="105">
        <f t="shared" ca="1" si="90"/>
        <v>928.22006113338352</v>
      </c>
      <c r="AS21" s="105">
        <f t="shared" ca="1" si="90"/>
        <v>932.86116143905019</v>
      </c>
      <c r="AT21" s="119">
        <f t="shared" ca="1" si="90"/>
        <v>937.5254672462454</v>
      </c>
      <c r="AU21" s="105">
        <f t="shared" ca="1" si="90"/>
        <v>942.21309458247651</v>
      </c>
      <c r="AV21" s="105">
        <f t="shared" ca="1" si="90"/>
        <v>946.92416005538871</v>
      </c>
      <c r="AW21" s="105">
        <f t="shared" ca="1" si="90"/>
        <v>951.65878085566567</v>
      </c>
      <c r="AX21" s="105">
        <f t="shared" ca="1" si="90"/>
        <v>956.41707475994394</v>
      </c>
      <c r="AY21" s="105">
        <f t="shared" ca="1" si="90"/>
        <v>961.19916013374359</v>
      </c>
      <c r="AZ21" s="105">
        <f t="shared" ca="1" si="90"/>
        <v>966.00515593441219</v>
      </c>
      <c r="BA21" s="105">
        <f t="shared" ca="1" si="90"/>
        <v>970.83518171408423</v>
      </c>
      <c r="BB21" s="105">
        <f t="shared" ca="1" si="90"/>
        <v>975.68935762265448</v>
      </c>
      <c r="BC21" s="105">
        <f t="shared" ca="1" si="90"/>
        <v>980.56780441076762</v>
      </c>
      <c r="BD21" s="105">
        <f t="shared" ca="1" si="90"/>
        <v>985.47064343282148</v>
      </c>
      <c r="BE21" s="105">
        <f t="shared" ca="1" si="90"/>
        <v>990.39799664998532</v>
      </c>
      <c r="BF21" s="119">
        <f t="shared" ca="1" si="90"/>
        <v>995.34998663323529</v>
      </c>
      <c r="BG21" s="105">
        <f t="shared" ca="1" si="90"/>
        <v>1000.3267365664011</v>
      </c>
      <c r="BH21" s="105">
        <f t="shared" ca="1" si="90"/>
        <v>1005.3283702492331</v>
      </c>
      <c r="BI21" s="105">
        <f t="shared" ca="1" si="90"/>
        <v>1010.3550121004794</v>
      </c>
      <c r="BJ21" s="105">
        <f t="shared" ca="1" si="90"/>
        <v>1015.4067871609816</v>
      </c>
      <c r="BK21" s="105">
        <f t="shared" ca="1" si="90"/>
        <v>1020.4838210967861</v>
      </c>
      <c r="BL21" s="105">
        <f t="shared" ca="1" si="90"/>
        <v>1025.5862402022699</v>
      </c>
      <c r="BM21" s="105">
        <f t="shared" ca="1" si="90"/>
        <v>1030.7141714032809</v>
      </c>
      <c r="BN21" s="105">
        <f t="shared" ca="1" si="90"/>
        <v>1035.8677422602977</v>
      </c>
      <c r="BO21" s="105">
        <f t="shared" ca="1" si="90"/>
        <v>1041.0470809715989</v>
      </c>
      <c r="BP21" s="105">
        <f t="shared" ca="1" si="90"/>
        <v>1046.252316376457</v>
      </c>
      <c r="BQ21" s="105">
        <f t="shared" ca="1" si="90"/>
        <v>1051.4835779583386</v>
      </c>
      <c r="BR21" s="119">
        <f t="shared" ca="1" si="90"/>
        <v>1056.7409958481305</v>
      </c>
    </row>
    <row r="22" spans="1:70" x14ac:dyDescent="0.3">
      <c r="B22" s="114" t="s">
        <v>205</v>
      </c>
      <c r="E22" s="136">
        <f>SUM(K22:V22)</f>
        <v>8119.1556736214288</v>
      </c>
      <c r="F22" s="136">
        <f>SUM(W22:AH22)</f>
        <v>20188.499821478836</v>
      </c>
      <c r="G22" s="136">
        <f>SUM(AI22:AT22)</f>
        <v>23884.540567158165</v>
      </c>
      <c r="H22" s="136">
        <f>SUM(AU22:BF22)</f>
        <v>24788.921327962293</v>
      </c>
      <c r="I22" s="136">
        <f>SUM(BG22:BR22)</f>
        <v>26609.459608268287</v>
      </c>
      <c r="K22" s="156">
        <f>Amort!D3</f>
        <v>122.01445441303251</v>
      </c>
      <c r="L22" s="156">
        <f>Amort!E3</f>
        <v>243.20472824309644</v>
      </c>
      <c r="M22" s="156">
        <f>Amort!F3</f>
        <v>366.83647308332854</v>
      </c>
      <c r="N22" s="156">
        <f>Amort!G3</f>
        <v>492.9498389905836</v>
      </c>
      <c r="O22" s="156">
        <f>Amort!H3</f>
        <v>569.99181646541399</v>
      </c>
      <c r="P22" s="156">
        <f>Amort!I3</f>
        <v>649.69676220405302</v>
      </c>
      <c r="Q22" s="156">
        <f>Amort!J3</f>
        <v>730.97015399949623</v>
      </c>
      <c r="R22" s="156">
        <f>Amort!K3</f>
        <v>813.83764422753666</v>
      </c>
      <c r="S22" s="156">
        <f>Amort!L3</f>
        <v>898.32528467132295</v>
      </c>
      <c r="T22" s="156">
        <f>Amort!M3</f>
        <v>986.63851301980299</v>
      </c>
      <c r="U22" s="156">
        <f>Amort!N3</f>
        <v>1076.5639734177532</v>
      </c>
      <c r="V22" s="197">
        <f>Amort!O3</f>
        <v>1168.1260308860094</v>
      </c>
      <c r="W22" s="156">
        <f>Amort!P3</f>
        <v>1261.3493986141739</v>
      </c>
      <c r="X22" s="156">
        <f>Amort!Q3</f>
        <v>1355.5093511511589</v>
      </c>
      <c r="Y22" s="156">
        <f>Amort!R3</f>
        <v>1451.410546717352</v>
      </c>
      <c r="Z22" s="156">
        <f>Amort!S3</f>
        <v>1549.0800678388127</v>
      </c>
      <c r="AA22" s="156">
        <f>Amort!T3</f>
        <v>1648.5453983256027</v>
      </c>
      <c r="AB22" s="156">
        <f>Amort!U3</f>
        <v>1749.834429125897</v>
      </c>
      <c r="AC22" s="156">
        <f>Amort!V3</f>
        <v>1758.9749821042144</v>
      </c>
      <c r="AD22" s="156">
        <f>Amort!W3</f>
        <v>1862.6821479670691</v>
      </c>
      <c r="AE22" s="156">
        <f>Amort!X3</f>
        <v>1872.7341393264924</v>
      </c>
      <c r="AF22" s="156">
        <f>Amort!Y3</f>
        <v>1882.7736771641246</v>
      </c>
      <c r="AG22" s="156">
        <f>Amort!Z3</f>
        <v>1892.7986786648769</v>
      </c>
      <c r="AH22" s="197">
        <f>Amort!AA3</f>
        <v>1902.8070044790622</v>
      </c>
      <c r="AI22" s="156">
        <f>Amort!AB3</f>
        <v>1912.7964575162146</v>
      </c>
      <c r="AJ22" s="156">
        <f>Amort!AC3</f>
        <v>1966.4246111720884</v>
      </c>
      <c r="AK22" s="156">
        <f>Amort!AD3</f>
        <v>1974.2152825679773</v>
      </c>
      <c r="AL22" s="156">
        <f>Amort!AE3</f>
        <v>1981.9518907376566</v>
      </c>
      <c r="AM22" s="156">
        <f>Amort!AF3</f>
        <v>1989.4539365227649</v>
      </c>
      <c r="AN22" s="156">
        <f>Amort!AG3</f>
        <v>1983.0267176532525</v>
      </c>
      <c r="AO22" s="156">
        <f>Amort!AH3</f>
        <v>1991.4754458055236</v>
      </c>
      <c r="AP22" s="156">
        <f>Amort!AI3</f>
        <v>1999.9552781823475</v>
      </c>
      <c r="AQ22" s="156">
        <f>Amort!AJ3</f>
        <v>2008.4661999046723</v>
      </c>
      <c r="AR22" s="156">
        <f>Amort!AK3</f>
        <v>2017.0081935750575</v>
      </c>
      <c r="AS22" s="156">
        <f>Amort!AL3</f>
        <v>2025.5812392298694</v>
      </c>
      <c r="AT22" s="197">
        <f>Amort!AM3</f>
        <v>2034.1853142907405</v>
      </c>
      <c r="AU22" s="156">
        <f>Amort!AN3</f>
        <v>2042.8203935152656</v>
      </c>
      <c r="AV22" s="156">
        <f>Amort!AO3</f>
        <v>2051.4864489469346</v>
      </c>
      <c r="AW22" s="156">
        <f>Amort!AP3</f>
        <v>2060.1834498642793</v>
      </c>
      <c r="AX22" s="156">
        <f>Amort!AQ3</f>
        <v>2068.9113627292368</v>
      </c>
      <c r="AY22" s="156">
        <f>Amort!AR3</f>
        <v>2077.6701511347028</v>
      </c>
      <c r="AZ22" s="156">
        <f>Amort!AS3</f>
        <v>1979.7631589665264</v>
      </c>
      <c r="BA22" s="156">
        <f>Amort!AT3</f>
        <v>1988.6902741052102</v>
      </c>
      <c r="BB22" s="156">
        <f>Amort!AU3</f>
        <v>1997.6480311155128</v>
      </c>
      <c r="BC22" s="156">
        <f>Amort!AV3</f>
        <v>2114.5251465891624</v>
      </c>
      <c r="BD22" s="156">
        <f>Amort!AW3</f>
        <v>2125.0977723221076</v>
      </c>
      <c r="BE22" s="156">
        <f>Amort!AX3</f>
        <v>2135.723261183718</v>
      </c>
      <c r="BF22" s="197">
        <f>Amort!AY3</f>
        <v>2146.4018774896363</v>
      </c>
      <c r="BG22" s="156">
        <f>Amort!AZ3</f>
        <v>2157.1338868770845</v>
      </c>
      <c r="BH22" s="156">
        <f>Amort!BA3</f>
        <v>2167.9195563114699</v>
      </c>
      <c r="BI22" s="156">
        <f>Amort!BB3</f>
        <v>2178.7591540930271</v>
      </c>
      <c r="BJ22" s="156">
        <f>Amort!BC3</f>
        <v>2189.6529498634918</v>
      </c>
      <c r="BK22" s="156">
        <f>Amort!BD3</f>
        <v>2200.6012146128091</v>
      </c>
      <c r="BL22" s="156">
        <f>Amort!BE3</f>
        <v>2211.6042206858729</v>
      </c>
      <c r="BM22" s="156">
        <f>Amort!BF3</f>
        <v>2222.6622417893018</v>
      </c>
      <c r="BN22" s="156">
        <f>Amort!BG3</f>
        <v>2233.7755529982483</v>
      </c>
      <c r="BO22" s="156">
        <f>Amort!BH3</f>
        <v>2244.9444307632393</v>
      </c>
      <c r="BP22" s="156">
        <f>Amort!BI3</f>
        <v>2256.1691529170548</v>
      </c>
      <c r="BQ22" s="156">
        <f>Amort!BJ3</f>
        <v>2267.4499986816409</v>
      </c>
      <c r="BR22" s="197">
        <f>Amort!BK3</f>
        <v>2278.787248675048</v>
      </c>
    </row>
    <row r="23" spans="1:70" s="94" customFormat="1" x14ac:dyDescent="0.3">
      <c r="A23" s="164"/>
      <c r="B23" s="259" t="s">
        <v>221</v>
      </c>
      <c r="C23" s="93"/>
      <c r="D23" s="93"/>
      <c r="E23" s="94">
        <f ca="1">V23</f>
        <v>15219.567975974614</v>
      </c>
      <c r="F23" s="94">
        <f ca="1">AH23</f>
        <v>17226.833577787984</v>
      </c>
      <c r="G23" s="94">
        <f ca="1">AT23</f>
        <v>16979.823179208874</v>
      </c>
      <c r="H23" s="94">
        <f ca="1">BF23</f>
        <v>17230.77041967649</v>
      </c>
      <c r="I23" s="94">
        <f ca="1">BR23</f>
        <v>17216.354835248188</v>
      </c>
      <c r="J23" s="93"/>
      <c r="K23" s="93">
        <f t="shared" ref="K23:AP23" ca="1" si="91">SUM(K18:K19)-SUM(K20:K22)</f>
        <v>2375.4855455869674</v>
      </c>
      <c r="L23" s="93">
        <f t="shared" ca="1" si="91"/>
        <v>4639.8928317982836</v>
      </c>
      <c r="M23" s="93">
        <f t="shared" ca="1" si="91"/>
        <v>6790.9539033831561</v>
      </c>
      <c r="N23" s="93">
        <f t="shared" ca="1" si="91"/>
        <v>8028.7169716616345</v>
      </c>
      <c r="O23" s="93">
        <f t="shared" ca="1" si="91"/>
        <v>9192.1215273880443</v>
      </c>
      <c r="P23" s="93">
        <f t="shared" ca="1" si="91"/>
        <v>10283.364858265906</v>
      </c>
      <c r="Q23" s="93">
        <f t="shared" ca="1" si="91"/>
        <v>11300.994215090492</v>
      </c>
      <c r="R23" s="93">
        <f t="shared" ca="1" si="91"/>
        <v>12243.532866708625</v>
      </c>
      <c r="S23" s="93">
        <f t="shared" ca="1" si="91"/>
        <v>13109.479725681656</v>
      </c>
      <c r="T23" s="93">
        <f t="shared" ca="1" si="91"/>
        <v>13895.129987829789</v>
      </c>
      <c r="U23" s="93">
        <f t="shared" ca="1" si="91"/>
        <v>14598.99613059229</v>
      </c>
      <c r="V23" s="102">
        <f t="shared" ca="1" si="91"/>
        <v>15219.567975974614</v>
      </c>
      <c r="W23" s="93">
        <f t="shared" ca="1" si="91"/>
        <v>15758.621389960876</v>
      </c>
      <c r="X23" s="93">
        <f t="shared" ca="1" si="91"/>
        <v>16212.053909899045</v>
      </c>
      <c r="Y23" s="93">
        <f t="shared" ca="1" si="91"/>
        <v>16578.255304213482</v>
      </c>
      <c r="Z23" s="93">
        <f t="shared" ca="1" si="91"/>
        <v>16855.590095986852</v>
      </c>
      <c r="AA23" s="93">
        <f t="shared" ca="1" si="91"/>
        <v>17042.397188056239</v>
      </c>
      <c r="AB23" s="93">
        <f t="shared" ca="1" si="91"/>
        <v>17136.989482635716</v>
      </c>
      <c r="AC23" s="93">
        <f t="shared" ca="1" si="91"/>
        <v>17231.653977546765</v>
      </c>
      <c r="AD23" s="93">
        <f t="shared" ca="1" si="91"/>
        <v>17231.870524432539</v>
      </c>
      <c r="AE23" s="93">
        <f t="shared" ca="1" si="91"/>
        <v>17231.435515156154</v>
      </c>
      <c r="AF23" s="93">
        <f t="shared" ca="1" si="91"/>
        <v>17230.409058054287</v>
      </c>
      <c r="AG23" s="93">
        <f t="shared" ca="1" si="91"/>
        <v>17228.853519186658</v>
      </c>
      <c r="AH23" s="102">
        <f t="shared" ca="1" si="91"/>
        <v>17226.833577787984</v>
      </c>
      <c r="AI23" s="93">
        <f t="shared" ca="1" si="91"/>
        <v>17224.416282876555</v>
      </c>
      <c r="AJ23" s="93">
        <f t="shared" ca="1" si="91"/>
        <v>17178.011281585077</v>
      </c>
      <c r="AK23" s="93">
        <f t="shared" ca="1" si="91"/>
        <v>17133.548234029819</v>
      </c>
      <c r="AL23" s="93">
        <f t="shared" ca="1" si="91"/>
        <v>17091.127692583905</v>
      </c>
      <c r="AM23" s="93">
        <f t="shared" ca="1" si="91"/>
        <v>17115.671130773353</v>
      </c>
      <c r="AN23" s="93">
        <f t="shared" ca="1" si="91"/>
        <v>17091.809205112797</v>
      </c>
      <c r="AO23" s="93">
        <f t="shared" ca="1" si="91"/>
        <v>17069.403815541249</v>
      </c>
      <c r="AP23" s="93">
        <f t="shared" ca="1" si="91"/>
        <v>17048.471808309645</v>
      </c>
      <c r="AQ23" s="93">
        <f t="shared" ref="AQ23:BR23" ca="1" si="92">SUM(AQ18:AQ19)-SUM(AQ20:AQ22)</f>
        <v>17029.030274736779</v>
      </c>
      <c r="AR23" s="93">
        <f t="shared" ca="1" si="92"/>
        <v>17011.096554717798</v>
      </c>
      <c r="AS23" s="93">
        <f t="shared" ca="1" si="92"/>
        <v>16994.68824028318</v>
      </c>
      <c r="AT23" s="102">
        <f t="shared" ca="1" si="92"/>
        <v>16979.823179208874</v>
      </c>
      <c r="AU23" s="93">
        <f t="shared" ca="1" si="92"/>
        <v>16966.519478678401</v>
      </c>
      <c r="AV23" s="93">
        <f t="shared" ca="1" si="92"/>
        <v>16954.795508997609</v>
      </c>
      <c r="AW23" s="93">
        <f t="shared" ca="1" si="92"/>
        <v>16944.669907362877</v>
      </c>
      <c r="AX23" s="93">
        <f t="shared" ca="1" si="92"/>
        <v>16936.161581683515</v>
      </c>
      <c r="AY23" s="93">
        <f t="shared" ca="1" si="92"/>
        <v>16929.289714459152</v>
      </c>
      <c r="AZ23" s="93">
        <f t="shared" ca="1" si="92"/>
        <v>17030.770383497649</v>
      </c>
      <c r="BA23" s="93">
        <f t="shared" ca="1" si="92"/>
        <v>17133.713322317024</v>
      </c>
      <c r="BB23" s="93">
        <f t="shared" ca="1" si="92"/>
        <v>17238.138881103816</v>
      </c>
      <c r="BC23" s="93">
        <f t="shared" ca="1" si="92"/>
        <v>17236.178935374293</v>
      </c>
      <c r="BD23" s="93">
        <f t="shared" ca="1" si="92"/>
        <v>17234.297340556255</v>
      </c>
      <c r="BE23" s="93">
        <f t="shared" ca="1" si="92"/>
        <v>17232.494400253625</v>
      </c>
      <c r="BF23" s="102">
        <f t="shared" ca="1" si="92"/>
        <v>17230.77041967649</v>
      </c>
      <c r="BG23" s="93">
        <f t="shared" ca="1" si="92"/>
        <v>17229.125705649047</v>
      </c>
      <c r="BH23" s="93">
        <f t="shared" ca="1" si="92"/>
        <v>17227.560566617591</v>
      </c>
      <c r="BI23" s="93">
        <f t="shared" ca="1" si="92"/>
        <v>17226.075312658533</v>
      </c>
      <c r="BJ23" s="93">
        <f t="shared" ca="1" si="92"/>
        <v>17224.670255486475</v>
      </c>
      <c r="BK23" s="93">
        <f t="shared" ca="1" si="92"/>
        <v>17223.345708462293</v>
      </c>
      <c r="BL23" s="93">
        <f t="shared" ca="1" si="92"/>
        <v>17222.10198660129</v>
      </c>
      <c r="BM23" s="93">
        <f t="shared" ca="1" si="92"/>
        <v>17220.93940658139</v>
      </c>
      <c r="BN23" s="93">
        <f t="shared" ca="1" si="92"/>
        <v>17219.85828675134</v>
      </c>
      <c r="BO23" s="93">
        <f t="shared" ca="1" si="92"/>
        <v>17218.858947139004</v>
      </c>
      <c r="BP23" s="93">
        <f t="shared" ca="1" si="92"/>
        <v>17217.94170945965</v>
      </c>
      <c r="BQ23" s="93">
        <f t="shared" ca="1" si="92"/>
        <v>17217.106897124315</v>
      </c>
      <c r="BR23" s="102">
        <f t="shared" ca="1" si="92"/>
        <v>17216.354835248188</v>
      </c>
    </row>
    <row r="24" spans="1:70" x14ac:dyDescent="0.3">
      <c r="B24" s="158" t="s">
        <v>202</v>
      </c>
      <c r="E24" s="136">
        <f ca="1">V24</f>
        <v>760.97839879873072</v>
      </c>
      <c r="F24" s="136">
        <f ca="1">AH24</f>
        <v>861.34167888939919</v>
      </c>
      <c r="G24" s="136">
        <f ca="1">AT24</f>
        <v>848.99115896044373</v>
      </c>
      <c r="H24" s="136">
        <f ca="1">BF24</f>
        <v>861.53852098382458</v>
      </c>
      <c r="I24" s="136">
        <f ca="1">BR24</f>
        <v>860.81774176240947</v>
      </c>
      <c r="K24" s="156">
        <f t="shared" ref="K24:AP24" ca="1" si="93">K23*MitigateReserves</f>
        <v>118.77427727934838</v>
      </c>
      <c r="L24" s="156">
        <f t="shared" ca="1" si="93"/>
        <v>231.99464158991418</v>
      </c>
      <c r="M24" s="156">
        <f t="shared" ca="1" si="93"/>
        <v>339.54769516915781</v>
      </c>
      <c r="N24" s="156">
        <f t="shared" ca="1" si="93"/>
        <v>401.43584858308174</v>
      </c>
      <c r="O24" s="156">
        <f t="shared" ca="1" si="93"/>
        <v>459.60607636940222</v>
      </c>
      <c r="P24" s="156">
        <f t="shared" ca="1" si="93"/>
        <v>514.16824291329533</v>
      </c>
      <c r="Q24" s="156">
        <f t="shared" ca="1" si="93"/>
        <v>565.04971075452465</v>
      </c>
      <c r="R24" s="156">
        <f t="shared" ca="1" si="93"/>
        <v>612.17664333543132</v>
      </c>
      <c r="S24" s="156">
        <f t="shared" ca="1" si="93"/>
        <v>655.47398628408291</v>
      </c>
      <c r="T24" s="156">
        <f t="shared" ca="1" si="93"/>
        <v>694.75649939148946</v>
      </c>
      <c r="U24" s="156">
        <f t="shared" ca="1" si="93"/>
        <v>729.94980652961453</v>
      </c>
      <c r="V24" s="136">
        <f t="shared" ca="1" si="93"/>
        <v>760.97839879873072</v>
      </c>
      <c r="W24" s="156">
        <f t="shared" ca="1" si="93"/>
        <v>787.93106949804383</v>
      </c>
      <c r="X24" s="156">
        <f t="shared" ca="1" si="93"/>
        <v>810.60269549495229</v>
      </c>
      <c r="Y24" s="156">
        <f t="shared" ca="1" si="93"/>
        <v>828.91276521067414</v>
      </c>
      <c r="Z24" s="156">
        <f t="shared" ca="1" si="93"/>
        <v>842.7795047993427</v>
      </c>
      <c r="AA24" s="156">
        <f t="shared" ca="1" si="93"/>
        <v>852.11985940281193</v>
      </c>
      <c r="AB24" s="156">
        <f t="shared" ca="1" si="93"/>
        <v>856.84947413178588</v>
      </c>
      <c r="AC24" s="156">
        <f t="shared" ca="1" si="93"/>
        <v>861.58269887733832</v>
      </c>
      <c r="AD24" s="156">
        <f t="shared" ca="1" si="93"/>
        <v>861.59352622162703</v>
      </c>
      <c r="AE24" s="156">
        <f t="shared" ca="1" si="93"/>
        <v>861.5717757578077</v>
      </c>
      <c r="AF24" s="156">
        <f t="shared" ca="1" si="93"/>
        <v>861.5204529027144</v>
      </c>
      <c r="AG24" s="156">
        <f t="shared" ca="1" si="93"/>
        <v>861.44267595933297</v>
      </c>
      <c r="AH24" s="136">
        <f t="shared" ca="1" si="93"/>
        <v>861.34167888939919</v>
      </c>
      <c r="AI24" s="156">
        <f t="shared" ca="1" si="93"/>
        <v>861.22081414382774</v>
      </c>
      <c r="AJ24" s="156">
        <f t="shared" ca="1" si="93"/>
        <v>858.90056407925385</v>
      </c>
      <c r="AK24" s="156">
        <f t="shared" ca="1" si="93"/>
        <v>856.677411701491</v>
      </c>
      <c r="AL24" s="156">
        <f t="shared" ca="1" si="93"/>
        <v>854.55638462919524</v>
      </c>
      <c r="AM24" s="156">
        <f t="shared" ca="1" si="93"/>
        <v>855.78355653866765</v>
      </c>
      <c r="AN24" s="156">
        <f t="shared" ca="1" si="93"/>
        <v>854.59046025563987</v>
      </c>
      <c r="AO24" s="156">
        <f t="shared" ca="1" si="93"/>
        <v>853.4701907770625</v>
      </c>
      <c r="AP24" s="156">
        <f t="shared" ca="1" si="93"/>
        <v>852.42359041548229</v>
      </c>
      <c r="AQ24" s="156">
        <f t="shared" ref="AQ24:BR24" ca="1" si="94">AQ23*MitigateReserves</f>
        <v>851.45151373683893</v>
      </c>
      <c r="AR24" s="156">
        <f t="shared" ca="1" si="94"/>
        <v>850.55482773588994</v>
      </c>
      <c r="AS24" s="156">
        <f t="shared" ca="1" si="94"/>
        <v>849.73441201415903</v>
      </c>
      <c r="AT24" s="136">
        <f t="shared" ca="1" si="94"/>
        <v>848.99115896044373</v>
      </c>
      <c r="AU24" s="156">
        <f t="shared" ca="1" si="94"/>
        <v>848.32597393392007</v>
      </c>
      <c r="AV24" s="156">
        <f t="shared" ca="1" si="94"/>
        <v>847.73977544988054</v>
      </c>
      <c r="AW24" s="156">
        <f t="shared" ca="1" si="94"/>
        <v>847.23349536814385</v>
      </c>
      <c r="AX24" s="156">
        <f t="shared" ca="1" si="94"/>
        <v>846.8080790841758</v>
      </c>
      <c r="AY24" s="156">
        <f t="shared" ca="1" si="94"/>
        <v>846.46448572295765</v>
      </c>
      <c r="AZ24" s="156">
        <f t="shared" ca="1" si="94"/>
        <v>851.53851917488248</v>
      </c>
      <c r="BA24" s="156">
        <f t="shared" ca="1" si="94"/>
        <v>856.68566611585129</v>
      </c>
      <c r="BB24" s="156">
        <f t="shared" ca="1" si="94"/>
        <v>861.90694405519082</v>
      </c>
      <c r="BC24" s="156">
        <f t="shared" ca="1" si="94"/>
        <v>861.80894676871469</v>
      </c>
      <c r="BD24" s="156">
        <f t="shared" ca="1" si="94"/>
        <v>861.71486702781283</v>
      </c>
      <c r="BE24" s="156">
        <f t="shared" ca="1" si="94"/>
        <v>861.62472001268134</v>
      </c>
      <c r="BF24" s="136">
        <f t="shared" ca="1" si="94"/>
        <v>861.53852098382458</v>
      </c>
      <c r="BG24" s="156">
        <f t="shared" ca="1" si="94"/>
        <v>861.45628528245243</v>
      </c>
      <c r="BH24" s="156">
        <f t="shared" ca="1" si="94"/>
        <v>861.3780283308796</v>
      </c>
      <c r="BI24" s="156">
        <f t="shared" ca="1" si="94"/>
        <v>861.30376563292668</v>
      </c>
      <c r="BJ24" s="156">
        <f t="shared" ca="1" si="94"/>
        <v>861.2335127743238</v>
      </c>
      <c r="BK24" s="156">
        <f t="shared" ca="1" si="94"/>
        <v>861.16728542311466</v>
      </c>
      <c r="BL24" s="156">
        <f t="shared" ca="1" si="94"/>
        <v>861.1050993300646</v>
      </c>
      <c r="BM24" s="156">
        <f t="shared" ca="1" si="94"/>
        <v>861.04697032906961</v>
      </c>
      <c r="BN24" s="156">
        <f t="shared" ca="1" si="94"/>
        <v>860.99291433756707</v>
      </c>
      <c r="BO24" s="156">
        <f t="shared" ca="1" si="94"/>
        <v>860.9429473569503</v>
      </c>
      <c r="BP24" s="156">
        <f t="shared" ca="1" si="94"/>
        <v>860.89708547298255</v>
      </c>
      <c r="BQ24" s="156">
        <f t="shared" ca="1" si="94"/>
        <v>860.85534485621577</v>
      </c>
      <c r="BR24" s="136">
        <f t="shared" ca="1" si="94"/>
        <v>860.81774176240947</v>
      </c>
    </row>
    <row r="25" spans="1:70" s="125" customFormat="1" x14ac:dyDescent="0.3">
      <c r="A25" s="139"/>
      <c r="B25" s="132" t="s">
        <v>93</v>
      </c>
      <c r="C25" s="213"/>
      <c r="D25" s="213"/>
      <c r="E25" s="103">
        <f ca="1">V25</f>
        <v>14458.589577175884</v>
      </c>
      <c r="F25" s="103">
        <f ca="1">AH25</f>
        <v>16365.491898898585</v>
      </c>
      <c r="G25" s="103">
        <f ca="1">AT25</f>
        <v>16130.83202024843</v>
      </c>
      <c r="H25" s="103">
        <f ca="1">BF25</f>
        <v>16369.231898692666</v>
      </c>
      <c r="I25" s="103">
        <f ca="1">BR25</f>
        <v>16355.537093485778</v>
      </c>
      <c r="K25" s="105">
        <f t="shared" ref="K25:AP25" ca="1" si="95">K23-K24</f>
        <v>2256.7112683076189</v>
      </c>
      <c r="L25" s="105">
        <f t="shared" ca="1" si="95"/>
        <v>4407.8981902083697</v>
      </c>
      <c r="M25" s="105">
        <f t="shared" ca="1" si="95"/>
        <v>6451.4062082139981</v>
      </c>
      <c r="N25" s="105">
        <f ca="1">N23-N24</f>
        <v>7627.2811230785528</v>
      </c>
      <c r="O25" s="105">
        <f t="shared" ca="1" si="95"/>
        <v>8732.5154510186421</v>
      </c>
      <c r="P25" s="105">
        <f t="shared" ca="1" si="95"/>
        <v>9769.19661535261</v>
      </c>
      <c r="Q25" s="105">
        <f t="shared" ca="1" si="95"/>
        <v>10735.944504335966</v>
      </c>
      <c r="R25" s="105">
        <f t="shared" ca="1" si="95"/>
        <v>11631.356223373194</v>
      </c>
      <c r="S25" s="105">
        <f t="shared" ca="1" si="95"/>
        <v>12454.005739397573</v>
      </c>
      <c r="T25" s="105">
        <f t="shared" ca="1" si="95"/>
        <v>13200.373488438299</v>
      </c>
      <c r="U25" s="105">
        <f t="shared" ca="1" si="95"/>
        <v>13869.046324062676</v>
      </c>
      <c r="V25" s="103">
        <f t="shared" ca="1" si="95"/>
        <v>14458.589577175884</v>
      </c>
      <c r="W25" s="105">
        <f t="shared" ca="1" si="95"/>
        <v>14970.690320462832</v>
      </c>
      <c r="X25" s="105">
        <f t="shared" ca="1" si="95"/>
        <v>15401.451214404093</v>
      </c>
      <c r="Y25" s="105">
        <f t="shared" ca="1" si="95"/>
        <v>15749.342539002808</v>
      </c>
      <c r="Z25" s="105">
        <f t="shared" ca="1" si="95"/>
        <v>16012.81059118751</v>
      </c>
      <c r="AA25" s="105">
        <f t="shared" ca="1" si="95"/>
        <v>16190.277328653427</v>
      </c>
      <c r="AB25" s="105">
        <f t="shared" ca="1" si="95"/>
        <v>16280.140008503929</v>
      </c>
      <c r="AC25" s="105">
        <f t="shared" ca="1" si="95"/>
        <v>16370.071278669426</v>
      </c>
      <c r="AD25" s="105">
        <f t="shared" ca="1" si="95"/>
        <v>16370.276998210913</v>
      </c>
      <c r="AE25" s="105">
        <f t="shared" ca="1" si="95"/>
        <v>16369.863739398346</v>
      </c>
      <c r="AF25" s="105">
        <f t="shared" ca="1" si="95"/>
        <v>16368.888605151573</v>
      </c>
      <c r="AG25" s="105">
        <f t="shared" ca="1" si="95"/>
        <v>16367.410843227324</v>
      </c>
      <c r="AH25" s="103">
        <f t="shared" ca="1" si="95"/>
        <v>16365.491898898585</v>
      </c>
      <c r="AI25" s="105">
        <f t="shared" ca="1" si="95"/>
        <v>16363.195468732727</v>
      </c>
      <c r="AJ25" s="105">
        <f t="shared" ca="1" si="95"/>
        <v>16319.110717505824</v>
      </c>
      <c r="AK25" s="105">
        <f t="shared" ca="1" si="95"/>
        <v>16276.870822328328</v>
      </c>
      <c r="AL25" s="105">
        <f t="shared" ca="1" si="95"/>
        <v>16236.571307954709</v>
      </c>
      <c r="AM25" s="105">
        <f t="shared" ca="1" si="95"/>
        <v>16259.887574234686</v>
      </c>
      <c r="AN25" s="105">
        <f t="shared" ca="1" si="95"/>
        <v>16237.218744857157</v>
      </c>
      <c r="AO25" s="105">
        <f t="shared" ca="1" si="95"/>
        <v>16215.933624764186</v>
      </c>
      <c r="AP25" s="105">
        <f t="shared" ca="1" si="95"/>
        <v>16196.048217894162</v>
      </c>
      <c r="AQ25" s="105">
        <f t="shared" ref="AQ25:BR25" ca="1" si="96">AQ23-AQ24</f>
        <v>16177.578760999939</v>
      </c>
      <c r="AR25" s="105">
        <f t="shared" ca="1" si="96"/>
        <v>16160.541726981908</v>
      </c>
      <c r="AS25" s="105">
        <f t="shared" ca="1" si="96"/>
        <v>16144.953828269021</v>
      </c>
      <c r="AT25" s="103">
        <f t="shared" ca="1" si="96"/>
        <v>16130.83202024843</v>
      </c>
      <c r="AU25" s="105">
        <f t="shared" ca="1" si="96"/>
        <v>16118.193504744482</v>
      </c>
      <c r="AV25" s="105">
        <f t="shared" ca="1" si="96"/>
        <v>16107.05573354773</v>
      </c>
      <c r="AW25" s="105">
        <f t="shared" ca="1" si="96"/>
        <v>16097.436411994733</v>
      </c>
      <c r="AX25" s="105">
        <f t="shared" ca="1" si="96"/>
        <v>16089.353502599339</v>
      </c>
      <c r="AY25" s="105">
        <f t="shared" ca="1" si="96"/>
        <v>16082.825228736194</v>
      </c>
      <c r="AZ25" s="105">
        <f t="shared" ca="1" si="96"/>
        <v>16179.231864322766</v>
      </c>
      <c r="BA25" s="105">
        <f t="shared" ca="1" si="96"/>
        <v>16277.027656201173</v>
      </c>
      <c r="BB25" s="105">
        <f t="shared" ca="1" si="96"/>
        <v>16376.231937048626</v>
      </c>
      <c r="BC25" s="105">
        <f t="shared" ca="1" si="96"/>
        <v>16374.369988605578</v>
      </c>
      <c r="BD25" s="105">
        <f t="shared" ca="1" si="96"/>
        <v>16372.582473528442</v>
      </c>
      <c r="BE25" s="105">
        <f t="shared" ca="1" si="96"/>
        <v>16370.869680240943</v>
      </c>
      <c r="BF25" s="103">
        <f t="shared" ca="1" si="96"/>
        <v>16369.231898692666</v>
      </c>
      <c r="BG25" s="105">
        <f t="shared" ca="1" si="96"/>
        <v>16367.669420366594</v>
      </c>
      <c r="BH25" s="105">
        <f t="shared" ca="1" si="96"/>
        <v>16366.182538286712</v>
      </c>
      <c r="BI25" s="105">
        <f t="shared" ca="1" si="96"/>
        <v>16364.771547025606</v>
      </c>
      <c r="BJ25" s="105">
        <f t="shared" ca="1" si="96"/>
        <v>16363.436742712151</v>
      </c>
      <c r="BK25" s="105">
        <f t="shared" ca="1" si="96"/>
        <v>16362.178423039179</v>
      </c>
      <c r="BL25" s="105">
        <f t="shared" ca="1" si="96"/>
        <v>16360.996887271225</v>
      </c>
      <c r="BM25" s="105">
        <f t="shared" ca="1" si="96"/>
        <v>16359.892436252321</v>
      </c>
      <c r="BN25" s="105">
        <f t="shared" ca="1" si="96"/>
        <v>16358.865372413773</v>
      </c>
      <c r="BO25" s="105">
        <f t="shared" ca="1" si="96"/>
        <v>16357.915999782053</v>
      </c>
      <c r="BP25" s="105">
        <f t="shared" ca="1" si="96"/>
        <v>16357.044623986667</v>
      </c>
      <c r="BQ25" s="105">
        <f t="shared" ca="1" si="96"/>
        <v>16356.251552268099</v>
      </c>
      <c r="BR25" s="103">
        <f t="shared" ca="1" si="96"/>
        <v>16355.537093485778</v>
      </c>
    </row>
    <row r="26" spans="1:70" x14ac:dyDescent="0.3">
      <c r="V26" s="105"/>
    </row>
    <row r="27" spans="1:70" ht="6" customHeight="1" x14ac:dyDescent="0.3">
      <c r="V27" s="105"/>
    </row>
    <row r="28" spans="1:70" x14ac:dyDescent="0.3">
      <c r="V28" s="105"/>
    </row>
    <row r="29" spans="1:70" x14ac:dyDescent="0.3">
      <c r="V29" s="105"/>
    </row>
    <row r="30" spans="1:70" x14ac:dyDescent="0.3">
      <c r="V30" s="105"/>
    </row>
  </sheetData>
  <sheetProtection algorithmName="SHA-512" hashValue="8elQGKI4rjM3dYtWmzfHrM+9BGEfkCnl5ahy2e0p9d8e9JZ4pUiwQm8B2ODaAgreBYsSGG82iswDUMcQotxL6w==" saltValue="/6AvXxapATO7FxA7XjoACA==" spinCount="100000" sheet="1" objects="1" scenarios="1" selectLockedCells="1" selectUnlockedCells="1"/>
  <printOptions horizontalCentered="1"/>
  <pageMargins left="0.5" right="0.5" top="0.75" bottom="0.5" header="0.3" footer="0.55000000000000004"/>
  <pageSetup fitToWidth="5" orientation="landscape" r:id="rId1"/>
  <headerFooter scaleWithDoc="0" alignWithMargins="0">
    <oddFooter>&amp;L&amp;10Loan Portfolio, p.&amp;P of &amp;N&amp;R&amp;10Updated &amp;D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244DE-B273-444D-835C-FE6D2547FE42}">
  <sheetPr>
    <tabColor rgb="FFC6E0B4"/>
  </sheetPr>
  <dimension ref="A1:BK545"/>
  <sheetViews>
    <sheetView showZeros="0" zoomScaleNormal="100" workbookViewId="0"/>
  </sheetViews>
  <sheetFormatPr defaultColWidth="3.6640625" defaultRowHeight="6.6" x14ac:dyDescent="0.15"/>
  <cols>
    <col min="1" max="1" width="5" style="325" bestFit="1" customWidth="1"/>
    <col min="2" max="3" width="0.44140625" style="325" customWidth="1"/>
    <col min="4" max="4" width="5.109375" style="325" bestFit="1" customWidth="1"/>
    <col min="5" max="5" width="4.77734375" style="325" bestFit="1" customWidth="1"/>
    <col min="6" max="7" width="4.44140625" style="325" bestFit="1" customWidth="1"/>
    <col min="8" max="9" width="4.21875" style="325" bestFit="1" customWidth="1"/>
    <col min="10" max="15" width="4.44140625" style="325" bestFit="1" customWidth="1"/>
    <col min="16" max="63" width="3.77734375" style="325" bestFit="1" customWidth="1"/>
    <col min="64" max="16384" width="3.6640625" style="325"/>
  </cols>
  <sheetData>
    <row r="1" spans="1:63" ht="7.8" x14ac:dyDescent="0.15">
      <c r="A1" s="181" t="s">
        <v>94</v>
      </c>
      <c r="B1" s="189"/>
      <c r="C1" s="189"/>
      <c r="D1" s="190">
        <v>1</v>
      </c>
      <c r="E1" s="190">
        <v>2</v>
      </c>
      <c r="F1" s="190">
        <v>3</v>
      </c>
      <c r="G1" s="190">
        <v>4</v>
      </c>
      <c r="H1" s="190">
        <v>5</v>
      </c>
      <c r="I1" s="190">
        <v>6</v>
      </c>
      <c r="J1" s="190">
        <v>7</v>
      </c>
      <c r="K1" s="190">
        <v>8</v>
      </c>
      <c r="L1" s="190">
        <v>9</v>
      </c>
      <c r="M1" s="190">
        <v>10</v>
      </c>
      <c r="N1" s="190">
        <v>11</v>
      </c>
      <c r="O1" s="191">
        <v>12</v>
      </c>
      <c r="P1" s="190">
        <v>13</v>
      </c>
      <c r="Q1" s="190">
        <v>14</v>
      </c>
      <c r="R1" s="190">
        <v>15</v>
      </c>
      <c r="S1" s="190">
        <v>16</v>
      </c>
      <c r="T1" s="190">
        <v>17</v>
      </c>
      <c r="U1" s="190">
        <v>18</v>
      </c>
      <c r="V1" s="190">
        <v>19</v>
      </c>
      <c r="W1" s="190">
        <v>20</v>
      </c>
      <c r="X1" s="190">
        <v>21</v>
      </c>
      <c r="Y1" s="190">
        <v>22</v>
      </c>
      <c r="Z1" s="190">
        <v>23</v>
      </c>
      <c r="AA1" s="191">
        <v>24</v>
      </c>
      <c r="AB1" s="190">
        <v>25</v>
      </c>
      <c r="AC1" s="190">
        <v>26</v>
      </c>
      <c r="AD1" s="190">
        <v>27</v>
      </c>
      <c r="AE1" s="190">
        <v>28</v>
      </c>
      <c r="AF1" s="190">
        <v>29</v>
      </c>
      <c r="AG1" s="190">
        <v>30</v>
      </c>
      <c r="AH1" s="190">
        <v>31</v>
      </c>
      <c r="AI1" s="190">
        <v>32</v>
      </c>
      <c r="AJ1" s="190">
        <v>33</v>
      </c>
      <c r="AK1" s="190">
        <v>34</v>
      </c>
      <c r="AL1" s="190">
        <v>35</v>
      </c>
      <c r="AM1" s="191">
        <v>36</v>
      </c>
      <c r="AN1" s="190">
        <v>37</v>
      </c>
      <c r="AO1" s="190">
        <v>38</v>
      </c>
      <c r="AP1" s="190">
        <v>39</v>
      </c>
      <c r="AQ1" s="190">
        <v>40</v>
      </c>
      <c r="AR1" s="190">
        <v>41</v>
      </c>
      <c r="AS1" s="190">
        <v>42</v>
      </c>
      <c r="AT1" s="190">
        <v>43</v>
      </c>
      <c r="AU1" s="190">
        <v>44</v>
      </c>
      <c r="AV1" s="190">
        <v>45</v>
      </c>
      <c r="AW1" s="190">
        <v>46</v>
      </c>
      <c r="AX1" s="190">
        <v>47</v>
      </c>
      <c r="AY1" s="191">
        <v>48</v>
      </c>
      <c r="AZ1" s="190">
        <v>49</v>
      </c>
      <c r="BA1" s="190">
        <v>50</v>
      </c>
      <c r="BB1" s="190">
        <v>51</v>
      </c>
      <c r="BC1" s="190">
        <v>52</v>
      </c>
      <c r="BD1" s="190">
        <v>53</v>
      </c>
      <c r="BE1" s="190">
        <v>54</v>
      </c>
      <c r="BF1" s="190">
        <v>55</v>
      </c>
      <c r="BG1" s="190">
        <v>56</v>
      </c>
      <c r="BH1" s="190">
        <v>57</v>
      </c>
      <c r="BI1" s="190">
        <v>58</v>
      </c>
      <c r="BJ1" s="190">
        <v>59</v>
      </c>
      <c r="BK1" s="191">
        <v>60</v>
      </c>
    </row>
    <row r="2" spans="1:63" ht="7.8" x14ac:dyDescent="0.15">
      <c r="A2" s="182" t="s">
        <v>96</v>
      </c>
      <c r="B2" s="192"/>
      <c r="C2" s="192"/>
      <c r="D2" s="193">
        <f t="shared" ref="D2:M3" si="0">SUMIF($A$6:$A$545,$A2,D$6:D$545)</f>
        <v>37.5</v>
      </c>
      <c r="E2" s="193">
        <f t="shared" si="0"/>
        <v>76.462238400620691</v>
      </c>
      <c r="F2" s="193">
        <f t="shared" si="0"/>
        <v>113.62441341226801</v>
      </c>
      <c r="G2" s="193">
        <f t="shared" si="0"/>
        <v>148.94974137113311</v>
      </c>
      <c r="H2" s="193">
        <f t="shared" si="0"/>
        <v>170.44367362463638</v>
      </c>
      <c r="I2" s="193">
        <f t="shared" si="0"/>
        <v>189.67199075114604</v>
      </c>
      <c r="J2" s="193">
        <f t="shared" si="0"/>
        <v>207.73129704976262</v>
      </c>
      <c r="K2" s="193">
        <f t="shared" si="0"/>
        <v>224.59803255192301</v>
      </c>
      <c r="L2" s="193">
        <f t="shared" si="0"/>
        <v>240.24824824851356</v>
      </c>
      <c r="M2" s="193">
        <f t="shared" si="0"/>
        <v>252.47861964335578</v>
      </c>
      <c r="N2" s="193">
        <f t="shared" ref="N2:W3" si="1">SUMIF($A$6:$A$545,$A2,N$6:N$545)</f>
        <v>263.50462625536557</v>
      </c>
      <c r="O2" s="193">
        <f t="shared" si="1"/>
        <v>273.30403725077269</v>
      </c>
      <c r="P2" s="193">
        <f t="shared" si="1"/>
        <v>281.85428420312473</v>
      </c>
      <c r="Q2" s="193">
        <f t="shared" si="1"/>
        <v>289.88224795571864</v>
      </c>
      <c r="R2" s="193">
        <f t="shared" si="1"/>
        <v>296.58543636267655</v>
      </c>
      <c r="S2" s="193">
        <f t="shared" si="1"/>
        <v>301.93894370825529</v>
      </c>
      <c r="T2" s="193">
        <f t="shared" si="1"/>
        <v>305.91747378228831</v>
      </c>
      <c r="U2" s="193">
        <f t="shared" si="1"/>
        <v>308.49533408011831</v>
      </c>
      <c r="V2" s="193">
        <f t="shared" si="1"/>
        <v>309.64642991783063</v>
      </c>
      <c r="W2" s="193">
        <f t="shared" si="1"/>
        <v>310.75285568673746</v>
      </c>
      <c r="X2" s="193">
        <f t="shared" ref="X2:AG3" si="2">SUMIF($A$6:$A$545,$A2,X$6:X$545)</f>
        <v>311.56803934558275</v>
      </c>
      <c r="Y2" s="193">
        <f t="shared" si="2"/>
        <v>312.45001240131108</v>
      </c>
      <c r="Z2" s="193">
        <f t="shared" si="2"/>
        <v>313.40112934838544</v>
      </c>
      <c r="AA2" s="193">
        <f t="shared" si="2"/>
        <v>314.42380257426601</v>
      </c>
      <c r="AB2" s="193">
        <f t="shared" si="2"/>
        <v>315.52050357237999</v>
      </c>
      <c r="AC2" s="193">
        <f t="shared" si="2"/>
        <v>273.03393472194898</v>
      </c>
      <c r="AD2" s="193">
        <f t="shared" si="2"/>
        <v>276.44055605552995</v>
      </c>
      <c r="AE2" s="193">
        <f t="shared" si="2"/>
        <v>279.95722707896812</v>
      </c>
      <c r="AF2" s="193">
        <f t="shared" si="2"/>
        <v>283.76472688294217</v>
      </c>
      <c r="AG2" s="193">
        <f t="shared" si="2"/>
        <v>301.55803906948341</v>
      </c>
      <c r="AH2" s="193">
        <f t="shared" ref="AH2:AQ3" si="3">SUMIF($A$6:$A$545,$A2,AH$6:AH$545)</f>
        <v>304.53223470082537</v>
      </c>
      <c r="AI2" s="193">
        <f t="shared" si="3"/>
        <v>307.53244072653348</v>
      </c>
      <c r="AJ2" s="193">
        <f t="shared" si="3"/>
        <v>310.55895759875244</v>
      </c>
      <c r="AK2" s="193">
        <f t="shared" si="3"/>
        <v>313.61208971588445</v>
      </c>
      <c r="AL2" s="193">
        <f t="shared" si="3"/>
        <v>316.69214547752705</v>
      </c>
      <c r="AM2" s="193">
        <f t="shared" si="3"/>
        <v>319.7994373401927</v>
      </c>
      <c r="AN2" s="193">
        <f t="shared" si="3"/>
        <v>322.93428187382165</v>
      </c>
      <c r="AO2" s="193">
        <f t="shared" si="3"/>
        <v>326.09699981909807</v>
      </c>
      <c r="AP2" s="193">
        <f t="shared" si="3"/>
        <v>329.28791614558332</v>
      </c>
      <c r="AQ2" s="193">
        <f t="shared" si="3"/>
        <v>332.50736011067534</v>
      </c>
      <c r="AR2" s="193">
        <f t="shared" ref="AR2:BA3" si="4">SUMIF($A$6:$A$545,$A2,AR$6:AR$545)</f>
        <v>335.75566531940854</v>
      </c>
      <c r="AS2" s="193">
        <f t="shared" si="4"/>
        <v>339.03316978510475</v>
      </c>
      <c r="AT2" s="193">
        <f t="shared" si="4"/>
        <v>342.34021599088766</v>
      </c>
      <c r="AU2" s="193">
        <f t="shared" si="4"/>
        <v>345.67715095207302</v>
      </c>
      <c r="AV2" s="193">
        <f t="shared" si="4"/>
        <v>347.53240828779747</v>
      </c>
      <c r="AW2" s="193">
        <f t="shared" si="4"/>
        <v>349.27007032923643</v>
      </c>
      <c r="AX2" s="193">
        <f t="shared" si="4"/>
        <v>351.01642068088262</v>
      </c>
      <c r="AY2" s="193">
        <f t="shared" si="4"/>
        <v>352.77150278428695</v>
      </c>
      <c r="AZ2" s="193">
        <f t="shared" si="4"/>
        <v>354.53536029820833</v>
      </c>
      <c r="BA2" s="193">
        <f t="shared" si="4"/>
        <v>356.30803709969933</v>
      </c>
      <c r="BB2" s="193">
        <f t="shared" ref="BB2:BK3" si="5">SUMIF($A$6:$A$545,$A2,BB$6:BB$545)</f>
        <v>358.08957728519783</v>
      </c>
      <c r="BC2" s="193">
        <f t="shared" si="5"/>
        <v>359.88002517162374</v>
      </c>
      <c r="BD2" s="193">
        <f t="shared" si="5"/>
        <v>361.67942529748183</v>
      </c>
      <c r="BE2" s="193">
        <f t="shared" si="5"/>
        <v>363.48782242396925</v>
      </c>
      <c r="BF2" s="193">
        <f t="shared" si="5"/>
        <v>365.30526153608906</v>
      </c>
      <c r="BG2" s="193">
        <f t="shared" si="5"/>
        <v>367.13178784376942</v>
      </c>
      <c r="BH2" s="193">
        <f t="shared" si="5"/>
        <v>368.96744678298819</v>
      </c>
      <c r="BI2" s="193">
        <f t="shared" si="5"/>
        <v>370.81228401690305</v>
      </c>
      <c r="BJ2" s="193">
        <f t="shared" si="5"/>
        <v>372.66634543698757</v>
      </c>
      <c r="BK2" s="193">
        <f t="shared" si="5"/>
        <v>374.52967716417248</v>
      </c>
    </row>
    <row r="3" spans="1:63" ht="7.8" x14ac:dyDescent="0.15">
      <c r="A3" s="203" t="s">
        <v>97</v>
      </c>
      <c r="B3" s="192"/>
      <c r="C3" s="192"/>
      <c r="D3" s="193">
        <f t="shared" si="0"/>
        <v>122.01445441303251</v>
      </c>
      <c r="E3" s="193">
        <f t="shared" si="0"/>
        <v>243.20472824309644</v>
      </c>
      <c r="F3" s="193">
        <f t="shared" si="0"/>
        <v>366.83647308332854</v>
      </c>
      <c r="G3" s="193">
        <f t="shared" si="0"/>
        <v>492.9498389905836</v>
      </c>
      <c r="H3" s="193">
        <f t="shared" si="0"/>
        <v>569.99181646541399</v>
      </c>
      <c r="I3" s="193">
        <f t="shared" si="0"/>
        <v>649.69676220405302</v>
      </c>
      <c r="J3" s="193">
        <f t="shared" si="0"/>
        <v>730.97015399949623</v>
      </c>
      <c r="K3" s="193">
        <f t="shared" si="0"/>
        <v>813.83764422753666</v>
      </c>
      <c r="L3" s="193">
        <f t="shared" si="0"/>
        <v>898.32528467132295</v>
      </c>
      <c r="M3" s="193">
        <f t="shared" si="0"/>
        <v>986.63851301980299</v>
      </c>
      <c r="N3" s="193">
        <f t="shared" si="1"/>
        <v>1076.5639734177532</v>
      </c>
      <c r="O3" s="193">
        <f t="shared" si="1"/>
        <v>1168.1260308860094</v>
      </c>
      <c r="P3" s="193">
        <f t="shared" si="1"/>
        <v>1261.3493986141739</v>
      </c>
      <c r="Q3" s="193">
        <f t="shared" si="1"/>
        <v>1355.5093511511589</v>
      </c>
      <c r="R3" s="193">
        <f t="shared" si="1"/>
        <v>1451.410546717352</v>
      </c>
      <c r="S3" s="193">
        <f t="shared" si="1"/>
        <v>1549.0800678388127</v>
      </c>
      <c r="T3" s="193">
        <f t="shared" si="1"/>
        <v>1648.5453983256027</v>
      </c>
      <c r="U3" s="193">
        <f t="shared" si="1"/>
        <v>1749.834429125897</v>
      </c>
      <c r="V3" s="193">
        <f t="shared" si="1"/>
        <v>1758.9749821042144</v>
      </c>
      <c r="W3" s="193">
        <f t="shared" si="1"/>
        <v>1862.6821479670691</v>
      </c>
      <c r="X3" s="193">
        <f t="shared" si="2"/>
        <v>1872.7341393264924</v>
      </c>
      <c r="Y3" s="193">
        <f t="shared" si="2"/>
        <v>1882.7736771641246</v>
      </c>
      <c r="Z3" s="193">
        <f t="shared" si="2"/>
        <v>1892.7986786648769</v>
      </c>
      <c r="AA3" s="193">
        <f t="shared" si="2"/>
        <v>1902.8070044790622</v>
      </c>
      <c r="AB3" s="193">
        <f t="shared" si="2"/>
        <v>1912.7964575162146</v>
      </c>
      <c r="AC3" s="193">
        <f t="shared" si="2"/>
        <v>1966.4246111720884</v>
      </c>
      <c r="AD3" s="193">
        <f t="shared" si="2"/>
        <v>1974.2152825679773</v>
      </c>
      <c r="AE3" s="193">
        <f t="shared" si="2"/>
        <v>1981.9518907376566</v>
      </c>
      <c r="AF3" s="193">
        <f t="shared" si="2"/>
        <v>1989.4539365227649</v>
      </c>
      <c r="AG3" s="193">
        <f t="shared" si="2"/>
        <v>1983.0267176532525</v>
      </c>
      <c r="AH3" s="193">
        <f t="shared" si="3"/>
        <v>1991.4754458055236</v>
      </c>
      <c r="AI3" s="193">
        <f t="shared" si="3"/>
        <v>1999.9552781823475</v>
      </c>
      <c r="AJ3" s="193">
        <f t="shared" si="3"/>
        <v>2008.4661999046723</v>
      </c>
      <c r="AK3" s="193">
        <f t="shared" si="3"/>
        <v>2017.0081935750575</v>
      </c>
      <c r="AL3" s="193">
        <f t="shared" si="3"/>
        <v>2025.5812392298694</v>
      </c>
      <c r="AM3" s="193">
        <f t="shared" si="3"/>
        <v>2034.1853142907405</v>
      </c>
      <c r="AN3" s="193">
        <f t="shared" si="3"/>
        <v>2042.8203935152656</v>
      </c>
      <c r="AO3" s="193">
        <f t="shared" si="3"/>
        <v>2051.4864489469346</v>
      </c>
      <c r="AP3" s="193">
        <f t="shared" si="3"/>
        <v>2060.1834498642793</v>
      </c>
      <c r="AQ3" s="193">
        <f t="shared" si="3"/>
        <v>2068.9113627292368</v>
      </c>
      <c r="AR3" s="193">
        <f t="shared" si="4"/>
        <v>2077.6701511347028</v>
      </c>
      <c r="AS3" s="193">
        <f t="shared" si="4"/>
        <v>1979.7631589665264</v>
      </c>
      <c r="AT3" s="193">
        <f t="shared" si="4"/>
        <v>1988.6902741052102</v>
      </c>
      <c r="AU3" s="193">
        <f t="shared" si="4"/>
        <v>1997.6480311155128</v>
      </c>
      <c r="AV3" s="193">
        <f t="shared" si="4"/>
        <v>2114.5251465891624</v>
      </c>
      <c r="AW3" s="193">
        <f t="shared" si="4"/>
        <v>2125.0977723221076</v>
      </c>
      <c r="AX3" s="193">
        <f t="shared" si="4"/>
        <v>2135.723261183718</v>
      </c>
      <c r="AY3" s="193">
        <f t="shared" si="4"/>
        <v>2146.4018774896363</v>
      </c>
      <c r="AZ3" s="193">
        <f t="shared" si="4"/>
        <v>2157.1338868770845</v>
      </c>
      <c r="BA3" s="193">
        <f t="shared" si="4"/>
        <v>2167.9195563114699</v>
      </c>
      <c r="BB3" s="193">
        <f t="shared" si="5"/>
        <v>2178.7591540930271</v>
      </c>
      <c r="BC3" s="193">
        <f t="shared" si="5"/>
        <v>2189.6529498634918</v>
      </c>
      <c r="BD3" s="193">
        <f t="shared" si="5"/>
        <v>2200.6012146128091</v>
      </c>
      <c r="BE3" s="193">
        <f t="shared" si="5"/>
        <v>2211.6042206858729</v>
      </c>
      <c r="BF3" s="193">
        <f t="shared" si="5"/>
        <v>2222.6622417893018</v>
      </c>
      <c r="BG3" s="193">
        <f t="shared" si="5"/>
        <v>2233.7755529982483</v>
      </c>
      <c r="BH3" s="193">
        <f t="shared" si="5"/>
        <v>2244.9444307632393</v>
      </c>
      <c r="BI3" s="193">
        <f t="shared" si="5"/>
        <v>2256.1691529170548</v>
      </c>
      <c r="BJ3" s="193">
        <f t="shared" si="5"/>
        <v>2267.4499986816409</v>
      </c>
      <c r="BK3" s="193">
        <f t="shared" si="5"/>
        <v>2278.787248675048</v>
      </c>
    </row>
    <row r="4" spans="1:63" ht="7.8" x14ac:dyDescent="0.15">
      <c r="A4" s="202" t="s">
        <v>203</v>
      </c>
      <c r="B4" s="192"/>
      <c r="C4" s="192"/>
      <c r="D4" s="193">
        <f t="shared" ref="D4:F4" si="6">SUMIF($A$6:$A$545,$A4,D$6:D$545)</f>
        <v>0</v>
      </c>
      <c r="E4" s="193">
        <f t="shared" si="6"/>
        <v>0</v>
      </c>
      <c r="F4" s="193">
        <f t="shared" si="6"/>
        <v>0</v>
      </c>
      <c r="G4" s="193">
        <f t="shared" ref="G4:AL4" si="7">SUMIF($A$6:$A$545,$A4,G$6:G$545)</f>
        <v>199.35673548494606</v>
      </c>
      <c r="H4" s="193">
        <f t="shared" si="7"/>
        <v>195.58722784754829</v>
      </c>
      <c r="I4" s="193">
        <f t="shared" si="7"/>
        <v>196.56516398678596</v>
      </c>
      <c r="J4" s="193">
        <f t="shared" si="7"/>
        <v>197.5479898067199</v>
      </c>
      <c r="K4" s="193">
        <f t="shared" si="7"/>
        <v>198.53572975575349</v>
      </c>
      <c r="L4" s="193">
        <f t="shared" si="7"/>
        <v>199.52840840453223</v>
      </c>
      <c r="M4" s="193">
        <f t="shared" si="7"/>
        <v>200.52605044655485</v>
      </c>
      <c r="N4" s="193">
        <f t="shared" si="7"/>
        <v>201.52868069878761</v>
      </c>
      <c r="O4" s="193">
        <f t="shared" si="7"/>
        <v>202.53632410228153</v>
      </c>
      <c r="P4" s="193">
        <f t="shared" si="7"/>
        <v>206.85802953828161</v>
      </c>
      <c r="Q4" s="193">
        <f t="shared" si="7"/>
        <v>207.89231968597301</v>
      </c>
      <c r="R4" s="193">
        <f t="shared" si="7"/>
        <v>208.93178128440283</v>
      </c>
      <c r="S4" s="193">
        <f t="shared" si="7"/>
        <v>209.97644019082477</v>
      </c>
      <c r="T4" s="193">
        <f t="shared" si="7"/>
        <v>211.02632239177893</v>
      </c>
      <c r="U4" s="193">
        <f t="shared" si="7"/>
        <v>212.0814540037378</v>
      </c>
      <c r="V4" s="193">
        <f t="shared" si="7"/>
        <v>213.14186127375643</v>
      </c>
      <c r="W4" s="193">
        <f t="shared" si="7"/>
        <v>214.20757058012524</v>
      </c>
      <c r="X4" s="193">
        <f t="shared" si="7"/>
        <v>215.27860843302579</v>
      </c>
      <c r="Y4" s="193">
        <f t="shared" si="7"/>
        <v>216.35500147519087</v>
      </c>
      <c r="Z4" s="193">
        <f t="shared" si="7"/>
        <v>217.43677648256681</v>
      </c>
      <c r="AA4" s="193">
        <f t="shared" si="7"/>
        <v>218.52396036497964</v>
      </c>
      <c r="AB4" s="193">
        <f t="shared" si="7"/>
        <v>219.61658016680451</v>
      </c>
      <c r="AC4" s="193">
        <f t="shared" si="7"/>
        <v>220.71466306763853</v>
      </c>
      <c r="AD4" s="193">
        <f t="shared" si="7"/>
        <v>221.81823638297669</v>
      </c>
      <c r="AE4" s="193">
        <f t="shared" si="7"/>
        <v>222.92732756489156</v>
      </c>
      <c r="AF4" s="193">
        <f t="shared" si="7"/>
        <v>288.68224459410982</v>
      </c>
      <c r="AG4" s="193">
        <f t="shared" si="7"/>
        <v>225.16217402372956</v>
      </c>
      <c r="AH4" s="193">
        <f t="shared" si="7"/>
        <v>226.28798489384818</v>
      </c>
      <c r="AI4" s="193">
        <f t="shared" si="7"/>
        <v>227.41942481831734</v>
      </c>
      <c r="AJ4" s="193">
        <f t="shared" si="7"/>
        <v>228.55652194240898</v>
      </c>
      <c r="AK4" s="193">
        <f t="shared" si="7"/>
        <v>229.69930455212099</v>
      </c>
      <c r="AL4" s="193">
        <f t="shared" si="7"/>
        <v>230.84780107488154</v>
      </c>
      <c r="AM4" s="193">
        <f t="shared" ref="AM4:BK4" si="8">SUMIF($A$6:$A$545,$A4,AM$6:AM$545)</f>
        <v>232.00204008025594</v>
      </c>
      <c r="AN4" s="193">
        <f t="shared" si="8"/>
        <v>233.16205028065721</v>
      </c>
      <c r="AO4" s="193">
        <f t="shared" si="8"/>
        <v>234.32786053206047</v>
      </c>
      <c r="AP4" s="193">
        <f t="shared" si="8"/>
        <v>235.49949983472075</v>
      </c>
      <c r="AQ4" s="193">
        <f t="shared" si="8"/>
        <v>236.67699733389438</v>
      </c>
      <c r="AR4" s="193">
        <f t="shared" si="8"/>
        <v>237.86038232056376</v>
      </c>
      <c r="AS4" s="193">
        <f t="shared" si="8"/>
        <v>239.04968423216656</v>
      </c>
      <c r="AT4" s="193">
        <f t="shared" si="8"/>
        <v>240.24493265332737</v>
      </c>
      <c r="AU4" s="193">
        <f t="shared" si="8"/>
        <v>241.44615731659397</v>
      </c>
      <c r="AV4" s="193">
        <f t="shared" si="8"/>
        <v>242.65338810317695</v>
      </c>
      <c r="AW4" s="193">
        <f t="shared" si="8"/>
        <v>243.86665504369276</v>
      </c>
      <c r="AX4" s="193">
        <f t="shared" si="8"/>
        <v>245.08598831891123</v>
      </c>
      <c r="AY4" s="193">
        <f t="shared" si="8"/>
        <v>246.31141826050577</v>
      </c>
      <c r="AZ4" s="193">
        <f t="shared" si="8"/>
        <v>247.54297535180822</v>
      </c>
      <c r="BA4" s="193">
        <f t="shared" si="8"/>
        <v>248.78069022856727</v>
      </c>
      <c r="BB4" s="193">
        <f t="shared" si="8"/>
        <v>250.02459367971011</v>
      </c>
      <c r="BC4" s="193">
        <f t="shared" si="8"/>
        <v>251.27471664810861</v>
      </c>
      <c r="BD4" s="193">
        <f t="shared" si="8"/>
        <v>252.53109023134914</v>
      </c>
      <c r="BE4" s="193">
        <f t="shared" si="8"/>
        <v>253.79374568250583</v>
      </c>
      <c r="BF4" s="193">
        <f t="shared" si="8"/>
        <v>255.06271441091837</v>
      </c>
      <c r="BG4" s="193">
        <f t="shared" si="8"/>
        <v>256.33802798297285</v>
      </c>
      <c r="BH4" s="193">
        <f t="shared" si="8"/>
        <v>257.61971812288772</v>
      </c>
      <c r="BI4" s="193">
        <f t="shared" si="8"/>
        <v>258.90781671350214</v>
      </c>
      <c r="BJ4" s="193">
        <f t="shared" si="8"/>
        <v>260.20235579706963</v>
      </c>
      <c r="BK4" s="193">
        <f t="shared" si="8"/>
        <v>261.50336757605487</v>
      </c>
    </row>
    <row r="5" spans="1:63" ht="7.8" x14ac:dyDescent="0.15">
      <c r="A5" s="236" t="s">
        <v>7</v>
      </c>
      <c r="B5" s="192"/>
      <c r="C5" s="192"/>
      <c r="D5" s="189">
        <f t="shared" ref="D5:AI5" si="9">SUMIF($A$6:$A$545,$A5,D$6:D$545)*LoanSize</f>
        <v>2500</v>
      </c>
      <c r="E5" s="189">
        <f t="shared" si="9"/>
        <v>5009.9999999999991</v>
      </c>
      <c r="F5" s="189">
        <f t="shared" si="9"/>
        <v>7530.0524999999998</v>
      </c>
      <c r="G5" s="189">
        <f t="shared" si="9"/>
        <v>10060.210259999998</v>
      </c>
      <c r="H5" s="189">
        <f t="shared" si="9"/>
        <v>11604.520305301496</v>
      </c>
      <c r="I5" s="189">
        <f t="shared" si="9"/>
        <v>13155.0578918355</v>
      </c>
      <c r="J5" s="189">
        <f t="shared" si="9"/>
        <v>14711.855651317166</v>
      </c>
      <c r="K5" s="189">
        <f t="shared" si="9"/>
        <v>16274.946377126218</v>
      </c>
      <c r="L5" s="189">
        <f t="shared" si="9"/>
        <v>17844.363025116767</v>
      </c>
      <c r="M5" s="189">
        <f t="shared" si="9"/>
        <v>19420.138714431159</v>
      </c>
      <c r="N5" s="189">
        <f t="shared" si="9"/>
        <v>21002.306728317933</v>
      </c>
      <c r="O5" s="189">
        <f t="shared" si="9"/>
        <v>22590.900514953832</v>
      </c>
      <c r="P5" s="189">
        <f t="shared" si="9"/>
        <v>24185.953688269907</v>
      </c>
      <c r="Q5" s="189">
        <f t="shared" si="9"/>
        <v>25787.500028781829</v>
      </c>
      <c r="R5" s="189">
        <f t="shared" si="9"/>
        <v>27395.573484424232</v>
      </c>
      <c r="S5" s="189">
        <f t="shared" si="9"/>
        <v>29010.208171389353</v>
      </c>
      <c r="T5" s="189">
        <f t="shared" si="9"/>
        <v>30631.438374969759</v>
      </c>
      <c r="U5" s="189">
        <f t="shared" si="9"/>
        <v>32259.298550405332</v>
      </c>
      <c r="V5" s="189">
        <f t="shared" si="9"/>
        <v>32420.595043157369</v>
      </c>
      <c r="W5" s="189">
        <f t="shared" si="9"/>
        <v>34063.292440353202</v>
      </c>
      <c r="X5" s="189">
        <f t="shared" si="9"/>
        <v>34233.608902554974</v>
      </c>
      <c r="Y5" s="189">
        <f t="shared" si="9"/>
        <v>34404.776947067738</v>
      </c>
      <c r="Z5" s="189">
        <f t="shared" si="9"/>
        <v>34576.800831803077</v>
      </c>
      <c r="AA5" s="189">
        <f t="shared" si="9"/>
        <v>34749.684835962085</v>
      </c>
      <c r="AB5" s="189">
        <f t="shared" si="9"/>
        <v>34923.433260141886</v>
      </c>
      <c r="AC5" s="189">
        <f t="shared" si="9"/>
        <v>35098.050426442598</v>
      </c>
      <c r="AD5" s="189">
        <f t="shared" si="9"/>
        <v>35273.540678574798</v>
      </c>
      <c r="AE5" s="189">
        <f t="shared" si="9"/>
        <v>35449.908381967682</v>
      </c>
      <c r="AF5" s="189">
        <f t="shared" si="9"/>
        <v>35627.157923877501</v>
      </c>
      <c r="AG5" s="189">
        <f t="shared" si="9"/>
        <v>35805.293713496889</v>
      </c>
      <c r="AH5" s="189">
        <f t="shared" si="9"/>
        <v>35984.320182064366</v>
      </c>
      <c r="AI5" s="189">
        <f t="shared" si="9"/>
        <v>36164.241782974685</v>
      </c>
      <c r="AJ5" s="189">
        <f t="shared" ref="AJ5:BK5" si="10">SUMIF($A$6:$A$545,$A5,AJ$6:AJ$545)*LoanSize</f>
        <v>36345.062991889565</v>
      </c>
      <c r="AK5" s="189">
        <f t="shared" si="10"/>
        <v>36526.788306849005</v>
      </c>
      <c r="AL5" s="189">
        <f t="shared" si="10"/>
        <v>36709.422248383242</v>
      </c>
      <c r="AM5" s="189">
        <f t="shared" si="10"/>
        <v>36892.96935962516</v>
      </c>
      <c r="AN5" s="189">
        <f t="shared" si="10"/>
        <v>37077.434206423277</v>
      </c>
      <c r="AO5" s="189">
        <f t="shared" si="10"/>
        <v>37262.821377455388</v>
      </c>
      <c r="AP5" s="189">
        <f t="shared" si="10"/>
        <v>37449.135484342667</v>
      </c>
      <c r="AQ5" s="189">
        <f t="shared" si="10"/>
        <v>37636.381161764373</v>
      </c>
      <c r="AR5" s="189">
        <f t="shared" si="10"/>
        <v>37824.563067573188</v>
      </c>
      <c r="AS5" s="189">
        <f t="shared" si="10"/>
        <v>36341.476659343156</v>
      </c>
      <c r="AT5" s="189">
        <f t="shared" si="10"/>
        <v>36533.217297981268</v>
      </c>
      <c r="AU5" s="189">
        <f t="shared" si="10"/>
        <v>36725.906606557233</v>
      </c>
      <c r="AV5" s="189">
        <f t="shared" si="10"/>
        <v>38586.746949306675</v>
      </c>
      <c r="AW5" s="189">
        <f t="shared" si="10"/>
        <v>38779.680684053186</v>
      </c>
      <c r="AX5" s="189">
        <f t="shared" si="10"/>
        <v>38973.579087473452</v>
      </c>
      <c r="AY5" s="189">
        <f t="shared" si="10"/>
        <v>39168.446982910813</v>
      </c>
      <c r="AZ5" s="189">
        <f t="shared" si="10"/>
        <v>39364.289217825368</v>
      </c>
      <c r="BA5" s="189">
        <f t="shared" si="10"/>
        <v>39561.110663914485</v>
      </c>
      <c r="BB5" s="189">
        <f t="shared" si="10"/>
        <v>39758.916217234058</v>
      </c>
      <c r="BC5" s="189">
        <f t="shared" si="10"/>
        <v>39957.710798320237</v>
      </c>
      <c r="BD5" s="189">
        <f t="shared" si="10"/>
        <v>40157.499352311825</v>
      </c>
      <c r="BE5" s="189">
        <f t="shared" si="10"/>
        <v>40358.286849073382</v>
      </c>
      <c r="BF5" s="189">
        <f t="shared" si="10"/>
        <v>40560.078283318748</v>
      </c>
      <c r="BG5" s="189">
        <f t="shared" si="10"/>
        <v>40762.87867473533</v>
      </c>
      <c r="BH5" s="189">
        <f t="shared" si="10"/>
        <v>40966.693068109002</v>
      </c>
      <c r="BI5" s="189">
        <f t="shared" si="10"/>
        <v>41171.526533449542</v>
      </c>
      <c r="BJ5" s="189">
        <f t="shared" si="10"/>
        <v>41377.38416611679</v>
      </c>
      <c r="BK5" s="189">
        <f t="shared" si="10"/>
        <v>41584.271086947367</v>
      </c>
    </row>
    <row r="6" spans="1:63" ht="7.8" x14ac:dyDescent="0.15">
      <c r="A6" s="204">
        <v>1</v>
      </c>
      <c r="B6" s="194"/>
      <c r="C6" s="189"/>
      <c r="D6" s="195">
        <v>101</v>
      </c>
      <c r="E6" s="196">
        <f t="shared" ref="E6" si="11">IF(E7=0,0,D6+1)</f>
        <v>102</v>
      </c>
      <c r="F6" s="196">
        <f t="shared" ref="F6" si="12">IF(F7=0,0,E6+1)</f>
        <v>103</v>
      </c>
      <c r="G6" s="196">
        <f t="shared" ref="G6" si="13">IF(G7=0,0,F6+1)</f>
        <v>104</v>
      </c>
      <c r="H6" s="196">
        <f t="shared" ref="H6" si="14">IF(H7=0,0,G6+1)</f>
        <v>105</v>
      </c>
      <c r="I6" s="196">
        <f t="shared" ref="I6" si="15">IF(I7=0,0,H6+1)</f>
        <v>106</v>
      </c>
      <c r="J6" s="196">
        <f t="shared" ref="J6" si="16">IF(J7=0,0,I6+1)</f>
        <v>107</v>
      </c>
      <c r="K6" s="196">
        <f t="shared" ref="K6" si="17">IF(K7=0,0,J6+1)</f>
        <v>108</v>
      </c>
      <c r="L6" s="196">
        <f t="shared" ref="L6" si="18">IF(L7=0,0,K6+1)</f>
        <v>109</v>
      </c>
      <c r="M6" s="196">
        <f t="shared" ref="M6" si="19">IF(M7=0,0,L6+1)</f>
        <v>110</v>
      </c>
      <c r="N6" s="196">
        <f t="shared" ref="N6" si="20">IF(N7=0,0,M6+1)</f>
        <v>111</v>
      </c>
      <c r="O6" s="196">
        <f t="shared" ref="O6" si="21">IF(O7=0,0,N6+1)</f>
        <v>112</v>
      </c>
      <c r="P6" s="196">
        <f t="shared" ref="P6" si="22">IF(P7=0,0,O6+1)</f>
        <v>113</v>
      </c>
      <c r="Q6" s="196">
        <f t="shared" ref="Q6" si="23">IF(Q7=0,0,P6+1)</f>
        <v>114</v>
      </c>
      <c r="R6" s="196">
        <f t="shared" ref="R6" si="24">IF(R7=0,0,Q6+1)</f>
        <v>115</v>
      </c>
      <c r="S6" s="196">
        <f t="shared" ref="S6" si="25">IF(S7=0,0,R6+1)</f>
        <v>116</v>
      </c>
      <c r="T6" s="196">
        <f t="shared" ref="T6" si="26">IF(T7=0,0,S6+1)</f>
        <v>117</v>
      </c>
      <c r="U6" s="196">
        <f t="shared" ref="U6" si="27">IF(U7=0,0,T6+1)</f>
        <v>118</v>
      </c>
      <c r="V6" s="196">
        <f t="shared" ref="V6" si="28">IF(V7=0,0,U6+1)</f>
        <v>0</v>
      </c>
      <c r="W6" s="196">
        <f t="shared" ref="W6" si="29">IF(W7=0,0,V6+1)</f>
        <v>0</v>
      </c>
      <c r="X6" s="196">
        <f t="shared" ref="X6" si="30">IF(X7=0,0,W6+1)</f>
        <v>0</v>
      </c>
      <c r="Y6" s="196">
        <f t="shared" ref="Y6" si="31">IF(Y7=0,0,X6+1)</f>
        <v>0</v>
      </c>
      <c r="Z6" s="196">
        <f t="shared" ref="Z6" si="32">IF(Z7=0,0,Y6+1)</f>
        <v>0</v>
      </c>
      <c r="AA6" s="196">
        <f t="shared" ref="AA6" si="33">IF(AA7=0,0,Z6+1)</f>
        <v>0</v>
      </c>
      <c r="AB6" s="196">
        <f t="shared" ref="AB6" si="34">IF(AB7=0,0,AA6+1)</f>
        <v>0</v>
      </c>
      <c r="AC6" s="196">
        <f t="shared" ref="AC6" si="35">IF(AC7=0,0,AB6+1)</f>
        <v>0</v>
      </c>
      <c r="AD6" s="196">
        <f t="shared" ref="AD6" si="36">IF(AD7=0,0,AC6+1)</f>
        <v>0</v>
      </c>
      <c r="AE6" s="196">
        <f t="shared" ref="AE6" si="37">IF(AE7=0,0,AD6+1)</f>
        <v>0</v>
      </c>
      <c r="AF6" s="196">
        <f t="shared" ref="AF6" si="38">IF(AF7=0,0,AE6+1)</f>
        <v>0</v>
      </c>
      <c r="AG6" s="196">
        <f t="shared" ref="AG6" si="39">IF(AG7=0,0,AF6+1)</f>
        <v>0</v>
      </c>
      <c r="AH6" s="196">
        <f t="shared" ref="AH6" si="40">IF(AH7=0,0,AG6+1)</f>
        <v>0</v>
      </c>
      <c r="AI6" s="196">
        <f t="shared" ref="AI6" si="41">IF(AI7=0,0,AH6+1)</f>
        <v>0</v>
      </c>
      <c r="AJ6" s="196">
        <f t="shared" ref="AJ6" si="42">IF(AJ7=0,0,AI6+1)</f>
        <v>0</v>
      </c>
      <c r="AK6" s="196">
        <f t="shared" ref="AK6" si="43">IF(AK7=0,0,AJ6+1)</f>
        <v>0</v>
      </c>
      <c r="AL6" s="196">
        <f t="shared" ref="AL6" si="44">IF(AL7=0,0,AK6+1)</f>
        <v>0</v>
      </c>
      <c r="AM6" s="196">
        <f t="shared" ref="AM6" si="45">IF(AM7=0,0,AL6+1)</f>
        <v>0</v>
      </c>
      <c r="AN6" s="196">
        <f t="shared" ref="AN6" si="46">IF(AN7=0,0,AM6+1)</f>
        <v>0</v>
      </c>
      <c r="AO6" s="196">
        <f t="shared" ref="AO6" si="47">IF(AO7=0,0,AN6+1)</f>
        <v>0</v>
      </c>
      <c r="AP6" s="196">
        <f t="shared" ref="AP6" si="48">IF(AP7=0,0,AO6+1)</f>
        <v>0</v>
      </c>
      <c r="AQ6" s="196">
        <f t="shared" ref="AQ6" si="49">IF(AQ7=0,0,AP6+1)</f>
        <v>0</v>
      </c>
      <c r="AR6" s="196">
        <f t="shared" ref="AR6" si="50">IF(AR7=0,0,AQ6+1)</f>
        <v>0</v>
      </c>
      <c r="AS6" s="196">
        <f t="shared" ref="AS6" si="51">IF(AS7=0,0,AR6+1)</f>
        <v>0</v>
      </c>
      <c r="AT6" s="196">
        <f t="shared" ref="AT6" si="52">IF(AT7=0,0,AS6+1)</f>
        <v>0</v>
      </c>
      <c r="AU6" s="196">
        <f t="shared" ref="AU6" si="53">IF(AU7=0,0,AT6+1)</f>
        <v>0</v>
      </c>
      <c r="AV6" s="196">
        <f t="shared" ref="AV6" si="54">IF(AV7=0,0,AU6+1)</f>
        <v>0</v>
      </c>
      <c r="AW6" s="196">
        <f t="shared" ref="AW6" si="55">IF(AW7=0,0,AV6+1)</f>
        <v>0</v>
      </c>
      <c r="AX6" s="196">
        <f t="shared" ref="AX6" si="56">IF(AX7=0,0,AW6+1)</f>
        <v>0</v>
      </c>
      <c r="AY6" s="196">
        <f t="shared" ref="AY6" si="57">IF(AY7=0,0,AX6+1)</f>
        <v>0</v>
      </c>
      <c r="AZ6" s="196">
        <f t="shared" ref="AZ6" si="58">IF(AZ7=0,0,AY6+1)</f>
        <v>0</v>
      </c>
      <c r="BA6" s="196">
        <f t="shared" ref="BA6" si="59">IF(BA7=0,0,AZ6+1)</f>
        <v>0</v>
      </c>
      <c r="BB6" s="196">
        <f t="shared" ref="BB6" si="60">IF(BB7=0,0,BA6+1)</f>
        <v>0</v>
      </c>
      <c r="BC6" s="196">
        <f t="shared" ref="BC6" si="61">IF(BC7=0,0,BB6+1)</f>
        <v>0</v>
      </c>
      <c r="BD6" s="196">
        <f t="shared" ref="BD6" si="62">IF(BD7=0,0,BC6+1)</f>
        <v>0</v>
      </c>
      <c r="BE6" s="196">
        <f t="shared" ref="BE6" si="63">IF(BE7=0,0,BD6+1)</f>
        <v>0</v>
      </c>
      <c r="BF6" s="196">
        <f t="shared" ref="BF6" si="64">IF(BF7=0,0,BE6+1)</f>
        <v>0</v>
      </c>
      <c r="BG6" s="196">
        <f t="shared" ref="BG6" si="65">IF(BG7=0,0,BF6+1)</f>
        <v>0</v>
      </c>
      <c r="BH6" s="196">
        <f t="shared" ref="BH6" si="66">IF(BH7=0,0,BG6+1)</f>
        <v>0</v>
      </c>
      <c r="BI6" s="196">
        <f t="shared" ref="BI6" si="67">IF(BI7=0,0,BH6+1)</f>
        <v>0</v>
      </c>
      <c r="BJ6" s="196">
        <f t="shared" ref="BJ6" si="68">IF(BJ7=0,0,BI6+1)</f>
        <v>0</v>
      </c>
      <c r="BK6" s="196">
        <f t="shared" ref="BK6" si="69">IF(BK7=0,0,BJ6+1)</f>
        <v>0</v>
      </c>
    </row>
    <row r="7" spans="1:63" ht="7.8" x14ac:dyDescent="0.15">
      <c r="A7" s="216" t="s">
        <v>178</v>
      </c>
      <c r="B7" s="199"/>
      <c r="C7" s="199"/>
      <c r="D7" s="217">
        <f>LoanSize</f>
        <v>25</v>
      </c>
      <c r="E7" s="215">
        <f>IF(D7-D10&lt;=0.1,0,D7-D10)</f>
        <v>23.779855455869676</v>
      </c>
      <c r="F7" s="215">
        <f t="shared" ref="F7:BK7" si="70">IF(E7-E10&lt;=0.1,0,E7-E10)</f>
        <v>22.541408743577396</v>
      </c>
      <c r="G7" s="215">
        <f t="shared" si="70"/>
        <v>21.284385330600731</v>
      </c>
      <c r="H7" s="215">
        <f t="shared" si="70"/>
        <v>20.008506566429418</v>
      </c>
      <c r="I7" s="215">
        <f t="shared" si="70"/>
        <v>18.713489620795535</v>
      </c>
      <c r="J7" s="215">
        <f t="shared" si="70"/>
        <v>17.399047420977144</v>
      </c>
      <c r="K7" s="215">
        <f t="shared" si="70"/>
        <v>16.064888588161477</v>
      </c>
      <c r="L7" s="215">
        <f t="shared" si="70"/>
        <v>14.710717372853573</v>
      </c>
      <c r="M7" s="215">
        <f t="shared" si="70"/>
        <v>13.336233589316052</v>
      </c>
      <c r="N7" s="215">
        <f t="shared" si="70"/>
        <v>11.941132549025468</v>
      </c>
      <c r="O7" s="215">
        <f t="shared" si="70"/>
        <v>10.525104993130526</v>
      </c>
      <c r="P7" s="215">
        <f t="shared" si="70"/>
        <v>9.0878370238971584</v>
      </c>
      <c r="Q7" s="215">
        <f t="shared" si="70"/>
        <v>7.6290100351252903</v>
      </c>
      <c r="R7" s="215">
        <f t="shared" si="70"/>
        <v>6.1483006415218444</v>
      </c>
      <c r="S7" s="215">
        <f t="shared" si="70"/>
        <v>4.6453806070143466</v>
      </c>
      <c r="T7" s="215">
        <f t="shared" si="70"/>
        <v>3.1199167719892369</v>
      </c>
      <c r="U7" s="215">
        <f t="shared" si="70"/>
        <v>1.5715709794387502</v>
      </c>
      <c r="V7" s="215">
        <f t="shared" si="70"/>
        <v>0</v>
      </c>
      <c r="W7" s="215">
        <f t="shared" si="70"/>
        <v>0</v>
      </c>
      <c r="X7" s="215">
        <f t="shared" si="70"/>
        <v>0</v>
      </c>
      <c r="Y7" s="215">
        <f t="shared" si="70"/>
        <v>0</v>
      </c>
      <c r="Z7" s="215">
        <f t="shared" si="70"/>
        <v>0</v>
      </c>
      <c r="AA7" s="215">
        <f t="shared" si="70"/>
        <v>0</v>
      </c>
      <c r="AB7" s="215">
        <f t="shared" si="70"/>
        <v>0</v>
      </c>
      <c r="AC7" s="215">
        <f t="shared" si="70"/>
        <v>0</v>
      </c>
      <c r="AD7" s="215">
        <f t="shared" si="70"/>
        <v>0</v>
      </c>
      <c r="AE7" s="215">
        <f t="shared" si="70"/>
        <v>0</v>
      </c>
      <c r="AF7" s="215">
        <f t="shared" si="70"/>
        <v>0</v>
      </c>
      <c r="AG7" s="215">
        <f t="shared" si="70"/>
        <v>0</v>
      </c>
      <c r="AH7" s="215">
        <f t="shared" si="70"/>
        <v>0</v>
      </c>
      <c r="AI7" s="215">
        <f t="shared" si="70"/>
        <v>0</v>
      </c>
      <c r="AJ7" s="215">
        <f t="shared" si="70"/>
        <v>0</v>
      </c>
      <c r="AK7" s="215">
        <f t="shared" si="70"/>
        <v>0</v>
      </c>
      <c r="AL7" s="215">
        <f t="shared" si="70"/>
        <v>0</v>
      </c>
      <c r="AM7" s="215">
        <f t="shared" si="70"/>
        <v>0</v>
      </c>
      <c r="AN7" s="215">
        <f t="shared" si="70"/>
        <v>0</v>
      </c>
      <c r="AO7" s="215">
        <f t="shared" si="70"/>
        <v>0</v>
      </c>
      <c r="AP7" s="215">
        <f t="shared" si="70"/>
        <v>0</v>
      </c>
      <c r="AQ7" s="215">
        <f t="shared" si="70"/>
        <v>0</v>
      </c>
      <c r="AR7" s="215">
        <f t="shared" si="70"/>
        <v>0</v>
      </c>
      <c r="AS7" s="215">
        <f t="shared" si="70"/>
        <v>0</v>
      </c>
      <c r="AT7" s="215">
        <f t="shared" si="70"/>
        <v>0</v>
      </c>
      <c r="AU7" s="215">
        <f t="shared" si="70"/>
        <v>0</v>
      </c>
      <c r="AV7" s="215">
        <f t="shared" si="70"/>
        <v>0</v>
      </c>
      <c r="AW7" s="215">
        <f t="shared" si="70"/>
        <v>0</v>
      </c>
      <c r="AX7" s="215">
        <f t="shared" si="70"/>
        <v>0</v>
      </c>
      <c r="AY7" s="215">
        <f t="shared" si="70"/>
        <v>0</v>
      </c>
      <c r="AZ7" s="215">
        <f t="shared" si="70"/>
        <v>0</v>
      </c>
      <c r="BA7" s="215">
        <f t="shared" si="70"/>
        <v>0</v>
      </c>
      <c r="BB7" s="215">
        <f t="shared" si="70"/>
        <v>0</v>
      </c>
      <c r="BC7" s="215">
        <f t="shared" si="70"/>
        <v>0</v>
      </c>
      <c r="BD7" s="215">
        <f t="shared" si="70"/>
        <v>0</v>
      </c>
      <c r="BE7" s="215">
        <f t="shared" si="70"/>
        <v>0</v>
      </c>
      <c r="BF7" s="215">
        <f t="shared" si="70"/>
        <v>0</v>
      </c>
      <c r="BG7" s="215">
        <f t="shared" si="70"/>
        <v>0</v>
      </c>
      <c r="BH7" s="215">
        <f t="shared" si="70"/>
        <v>0</v>
      </c>
      <c r="BI7" s="215">
        <f t="shared" si="70"/>
        <v>0</v>
      </c>
      <c r="BJ7" s="215">
        <f t="shared" si="70"/>
        <v>0</v>
      </c>
      <c r="BK7" s="215">
        <f t="shared" si="70"/>
        <v>0</v>
      </c>
    </row>
    <row r="8" spans="1:63" ht="7.8" x14ac:dyDescent="0.15">
      <c r="A8" s="218" t="s">
        <v>179</v>
      </c>
      <c r="B8" s="201"/>
      <c r="C8" s="201"/>
      <c r="D8" s="219">
        <f>IF(D7=0,0,PMT(INDEX(LoanCohortRate,1),LoanTerm, -LoanSize))</f>
        <v>1.5951445441303251</v>
      </c>
      <c r="E8" s="222">
        <f t="shared" ref="E8" si="71">IF(E7=0,0, D8)</f>
        <v>1.5951445441303251</v>
      </c>
      <c r="F8" s="222">
        <f t="shared" ref="F8" si="72">IF(F7=0,0, E8)</f>
        <v>1.5951445441303251</v>
      </c>
      <c r="G8" s="222">
        <f t="shared" ref="G8" si="73">IF(G7=0,0, F8)</f>
        <v>1.5951445441303251</v>
      </c>
      <c r="H8" s="222">
        <f t="shared" ref="H8" si="74">IF(H7=0,0, G8)</f>
        <v>1.5951445441303251</v>
      </c>
      <c r="I8" s="222">
        <f t="shared" ref="I8" si="75">IF(I7=0,0, H8)</f>
        <v>1.5951445441303251</v>
      </c>
      <c r="J8" s="222">
        <f t="shared" ref="J8" si="76">IF(J7=0,0, I8)</f>
        <v>1.5951445441303251</v>
      </c>
      <c r="K8" s="222">
        <f t="shared" ref="K8" si="77">IF(K7=0,0, J8)</f>
        <v>1.5951445441303251</v>
      </c>
      <c r="L8" s="222">
        <f t="shared" ref="L8" si="78">IF(L7=0,0, K8)</f>
        <v>1.5951445441303251</v>
      </c>
      <c r="M8" s="222">
        <f t="shared" ref="M8" si="79">IF(M7=0,0, L8)</f>
        <v>1.5951445441303251</v>
      </c>
      <c r="N8" s="222">
        <f t="shared" ref="N8" si="80">IF(N7=0,0, M8)</f>
        <v>1.5951445441303251</v>
      </c>
      <c r="O8" s="222">
        <f t="shared" ref="O8" si="81">IF(O7=0,0, N8)</f>
        <v>1.5951445441303251</v>
      </c>
      <c r="P8" s="222">
        <f t="shared" ref="P8" si="82">IF(P7=0,0, O8)</f>
        <v>1.5951445441303251</v>
      </c>
      <c r="Q8" s="222">
        <f t="shared" ref="Q8" si="83">IF(Q7=0,0, P8)</f>
        <v>1.5951445441303251</v>
      </c>
      <c r="R8" s="222">
        <f t="shared" ref="R8" si="84">IF(R7=0,0, Q8)</f>
        <v>1.5951445441303251</v>
      </c>
      <c r="S8" s="222">
        <f t="shared" ref="S8" si="85">IF(S7=0,0, R8)</f>
        <v>1.5951445441303251</v>
      </c>
      <c r="T8" s="222">
        <f t="shared" ref="T8" si="86">IF(T7=0,0, S8)</f>
        <v>1.5951445441303251</v>
      </c>
      <c r="U8" s="222">
        <f t="shared" ref="U8" si="87">IF(U7=0,0, T8)</f>
        <v>1.5951445441303251</v>
      </c>
      <c r="V8" s="222">
        <f t="shared" ref="V8" si="88">IF(V7=0,0, U8)</f>
        <v>0</v>
      </c>
      <c r="W8" s="222">
        <f t="shared" ref="W8" si="89">IF(W7=0,0, V8)</f>
        <v>0</v>
      </c>
      <c r="X8" s="222">
        <f t="shared" ref="X8" si="90">IF(X7=0,0, W8)</f>
        <v>0</v>
      </c>
      <c r="Y8" s="222">
        <f t="shared" ref="Y8" si="91">IF(Y7=0,0, X8)</f>
        <v>0</v>
      </c>
      <c r="Z8" s="222">
        <f t="shared" ref="Z8" si="92">IF(Z7=0,0, Y8)</f>
        <v>0</v>
      </c>
      <c r="AA8" s="222">
        <f t="shared" ref="AA8" si="93">IF(AA7=0,0, Z8)</f>
        <v>0</v>
      </c>
      <c r="AB8" s="222">
        <f t="shared" ref="AB8" si="94">IF(AB7=0,0, AA8)</f>
        <v>0</v>
      </c>
      <c r="AC8" s="222">
        <f t="shared" ref="AC8" si="95">IF(AC7=0,0, AB8)</f>
        <v>0</v>
      </c>
      <c r="AD8" s="222">
        <f t="shared" ref="AD8" si="96">IF(AD7=0,0, AC8)</f>
        <v>0</v>
      </c>
      <c r="AE8" s="222">
        <f t="shared" ref="AE8" si="97">IF(AE7=0,0, AD8)</f>
        <v>0</v>
      </c>
      <c r="AF8" s="222">
        <f t="shared" ref="AF8" si="98">IF(AF7=0,0, AE8)</f>
        <v>0</v>
      </c>
      <c r="AG8" s="222">
        <f t="shared" ref="AG8" si="99">IF(AG7=0,0, AF8)</f>
        <v>0</v>
      </c>
      <c r="AH8" s="222">
        <f t="shared" ref="AH8" si="100">IF(AH7=0,0, AG8)</f>
        <v>0</v>
      </c>
      <c r="AI8" s="222">
        <f t="shared" ref="AI8" si="101">IF(AI7=0,0, AH8)</f>
        <v>0</v>
      </c>
      <c r="AJ8" s="222">
        <f t="shared" ref="AJ8" si="102">IF(AJ7=0,0, AI8)</f>
        <v>0</v>
      </c>
      <c r="AK8" s="222">
        <f t="shared" ref="AK8" si="103">IF(AK7=0,0, AJ8)</f>
        <v>0</v>
      </c>
      <c r="AL8" s="222">
        <f t="shared" ref="AL8" si="104">IF(AL7=0,0, AK8)</f>
        <v>0</v>
      </c>
      <c r="AM8" s="222">
        <f t="shared" ref="AM8" si="105">IF(AM7=0,0, AL8)</f>
        <v>0</v>
      </c>
      <c r="AN8" s="222">
        <f t="shared" ref="AN8" si="106">IF(AN7=0,0, AM8)</f>
        <v>0</v>
      </c>
      <c r="AO8" s="222">
        <f t="shared" ref="AO8" si="107">IF(AO7=0,0, AN8)</f>
        <v>0</v>
      </c>
      <c r="AP8" s="222">
        <f t="shared" ref="AP8" si="108">IF(AP7=0,0, AO8)</f>
        <v>0</v>
      </c>
      <c r="AQ8" s="222">
        <f t="shared" ref="AQ8" si="109">IF(AQ7=0,0, AP8)</f>
        <v>0</v>
      </c>
      <c r="AR8" s="222">
        <f t="shared" ref="AR8" si="110">IF(AR7=0,0, AQ8)</f>
        <v>0</v>
      </c>
      <c r="AS8" s="222">
        <f t="shared" ref="AS8" si="111">IF(AS7=0,0, AR8)</f>
        <v>0</v>
      </c>
      <c r="AT8" s="222">
        <f t="shared" ref="AT8" si="112">IF(AT7=0,0, AS8)</f>
        <v>0</v>
      </c>
      <c r="AU8" s="222">
        <f t="shared" ref="AU8" si="113">IF(AU7=0,0, AT8)</f>
        <v>0</v>
      </c>
      <c r="AV8" s="222">
        <f t="shared" ref="AV8" si="114">IF(AV7=0,0, AU8)</f>
        <v>0</v>
      </c>
      <c r="AW8" s="222">
        <f t="shared" ref="AW8" si="115">IF(AW7=0,0, AV8)</f>
        <v>0</v>
      </c>
      <c r="AX8" s="222">
        <f t="shared" ref="AX8" si="116">IF(AX7=0,0, AW8)</f>
        <v>0</v>
      </c>
      <c r="AY8" s="222">
        <f t="shared" ref="AY8" si="117">IF(AY7=0,0, AX8)</f>
        <v>0</v>
      </c>
      <c r="AZ8" s="222">
        <f t="shared" ref="AZ8" si="118">IF(AZ7=0,0, AY8)</f>
        <v>0</v>
      </c>
      <c r="BA8" s="222">
        <f t="shared" ref="BA8" si="119">IF(BA7=0,0, AZ8)</f>
        <v>0</v>
      </c>
      <c r="BB8" s="222">
        <f t="shared" ref="BB8" si="120">IF(BB7=0,0, BA8)</f>
        <v>0</v>
      </c>
      <c r="BC8" s="222">
        <f t="shared" ref="BC8" si="121">IF(BC7=0,0, BB8)</f>
        <v>0</v>
      </c>
      <c r="BD8" s="222">
        <f t="shared" ref="BD8" si="122">IF(BD7=0,0, BC8)</f>
        <v>0</v>
      </c>
      <c r="BE8" s="222">
        <f t="shared" ref="BE8" si="123">IF(BE7=0,0, BD8)</f>
        <v>0</v>
      </c>
      <c r="BF8" s="222">
        <f t="shared" ref="BF8" si="124">IF(BF7=0,0, BE8)</f>
        <v>0</v>
      </c>
      <c r="BG8" s="222">
        <f t="shared" ref="BG8" si="125">IF(BG7=0,0, BF8)</f>
        <v>0</v>
      </c>
      <c r="BH8" s="222">
        <f t="shared" ref="BH8" si="126">IF(BH7=0,0, BG8)</f>
        <v>0</v>
      </c>
      <c r="BI8" s="222">
        <f t="shared" ref="BI8" si="127">IF(BI7=0,0, BH8)</f>
        <v>0</v>
      </c>
      <c r="BJ8" s="222">
        <f t="shared" ref="BJ8" si="128">IF(BJ7=0,0, BI8)</f>
        <v>0</v>
      </c>
      <c r="BK8" s="222">
        <f t="shared" ref="BK8" si="129">IF(BK7=0,0, BJ8)</f>
        <v>0</v>
      </c>
    </row>
    <row r="9" spans="1:63" ht="7.8" x14ac:dyDescent="0.15">
      <c r="A9" s="218" t="s">
        <v>180</v>
      </c>
      <c r="B9" s="201"/>
      <c r="C9" s="201"/>
      <c r="D9" s="220" cm="1">
        <f t="array" ref="D9">D7*INDEX(LoanCohortRate,$A6)</f>
        <v>0.375</v>
      </c>
      <c r="E9" s="221" cm="1">
        <f t="array" ref="E9">E7*INDEX(LoanCohortRate,$A6)</f>
        <v>0.3566978318380451</v>
      </c>
      <c r="F9" s="221" cm="1">
        <f t="array" ref="F9">F7*INDEX(LoanCohortRate,$A6)</f>
        <v>0.33812113115366094</v>
      </c>
      <c r="G9" s="221" cm="1">
        <f t="array" ref="G9">G7*INDEX(LoanCohortRate,$A6)</f>
        <v>0.31926577995901095</v>
      </c>
      <c r="H9" s="221" cm="1">
        <f t="array" ref="H9">H7*INDEX(LoanCohortRate,$A6)</f>
        <v>0.30012759849644127</v>
      </c>
      <c r="I9" s="221" cm="1">
        <f t="array" ref="I9">I7*INDEX(LoanCohortRate,$A6)</f>
        <v>0.28070234431193303</v>
      </c>
      <c r="J9" s="221" cm="1">
        <f t="array" ref="J9">J7*INDEX(LoanCohortRate,$A6)</f>
        <v>0.26098571131465714</v>
      </c>
      <c r="K9" s="221" cm="1">
        <f t="array" ref="K9">K7*INDEX(LoanCohortRate,$A6)</f>
        <v>0.24097332882242214</v>
      </c>
      <c r="L9" s="221" cm="1">
        <f t="array" ref="L9">L7*INDEX(LoanCohortRate,$A6)</f>
        <v>0.2206607605928036</v>
      </c>
      <c r="M9" s="221" cm="1">
        <f t="array" ref="M9">M7*INDEX(LoanCohortRate,$A6)</f>
        <v>0.20004350383974076</v>
      </c>
      <c r="N9" s="221" cm="1">
        <f t="array" ref="N9">N7*INDEX(LoanCohortRate,$A6)</f>
        <v>0.17911698823538202</v>
      </c>
      <c r="O9" s="221" cm="1">
        <f t="array" ref="O9">O7*INDEX(LoanCohortRate,$A6)</f>
        <v>0.15787657489695789</v>
      </c>
      <c r="P9" s="221" cm="1">
        <f t="array" ref="P9">P7*INDEX(LoanCohortRate,$A6)</f>
        <v>0.13631755535845738</v>
      </c>
      <c r="Q9" s="221" cm="1">
        <f t="array" ref="Q9">Q7*INDEX(LoanCohortRate,$A6)</f>
        <v>0.11443515052687935</v>
      </c>
      <c r="R9" s="221" cm="1">
        <f t="array" ref="R9">R7*INDEX(LoanCohortRate,$A6)</f>
        <v>9.2224509622827661E-2</v>
      </c>
      <c r="S9" s="221" cm="1">
        <f t="array" ref="S9">S7*INDEX(LoanCohortRate,$A6)</f>
        <v>6.9680709105215191E-2</v>
      </c>
      <c r="T9" s="221" cm="1">
        <f t="array" ref="T9">T7*INDEX(LoanCohortRate,$A6)</f>
        <v>4.6798751579838552E-2</v>
      </c>
      <c r="U9" s="221" cm="1">
        <f t="array" ref="U9">U7*INDEX(LoanCohortRate,$A6)</f>
        <v>2.3573564691581252E-2</v>
      </c>
      <c r="V9" s="221" cm="1">
        <f t="array" ref="V9">V7*INDEX(LoanCohortRate,$A6)</f>
        <v>0</v>
      </c>
      <c r="W9" s="221" cm="1">
        <f t="array" ref="W9">W7*INDEX(LoanCohortRate,$A6)</f>
        <v>0</v>
      </c>
      <c r="X9" s="221" cm="1">
        <f t="array" ref="X9">X7*INDEX(LoanCohortRate,$A6)</f>
        <v>0</v>
      </c>
      <c r="Y9" s="221" cm="1">
        <f t="array" ref="Y9">Y7*INDEX(LoanCohortRate,$A6)</f>
        <v>0</v>
      </c>
      <c r="Z9" s="221" cm="1">
        <f t="array" ref="Z9">Z7*INDEX(LoanCohortRate,$A6)</f>
        <v>0</v>
      </c>
      <c r="AA9" s="221" cm="1">
        <f t="array" ref="AA9">AA7*INDEX(LoanCohortRate,$A6)</f>
        <v>0</v>
      </c>
      <c r="AB9" s="221" cm="1">
        <f t="array" ref="AB9">AB7*INDEX(LoanCohortRate,$A6)</f>
        <v>0</v>
      </c>
      <c r="AC9" s="221" cm="1">
        <f t="array" ref="AC9">AC7*INDEX(LoanCohortRate,$A6)</f>
        <v>0</v>
      </c>
      <c r="AD9" s="221" cm="1">
        <f t="array" ref="AD9">AD7*INDEX(LoanCohortRate,$A6)</f>
        <v>0</v>
      </c>
      <c r="AE9" s="221" cm="1">
        <f t="array" ref="AE9">AE7*INDEX(LoanCohortRate,$A6)</f>
        <v>0</v>
      </c>
      <c r="AF9" s="221" cm="1">
        <f t="array" ref="AF9">AF7*INDEX(LoanCohortRate,$A6)</f>
        <v>0</v>
      </c>
      <c r="AG9" s="221" cm="1">
        <f t="array" ref="AG9">AG7*INDEX(LoanCohortRate,$A6)</f>
        <v>0</v>
      </c>
      <c r="AH9" s="221" cm="1">
        <f t="array" ref="AH9">AH7*INDEX(LoanCohortRate,$A6)</f>
        <v>0</v>
      </c>
      <c r="AI9" s="221" cm="1">
        <f t="array" ref="AI9">AI7*INDEX(LoanCohortRate,$A6)</f>
        <v>0</v>
      </c>
      <c r="AJ9" s="221" cm="1">
        <f t="array" ref="AJ9">AJ7*INDEX(LoanCohortRate,$A6)</f>
        <v>0</v>
      </c>
      <c r="AK9" s="221" cm="1">
        <f t="array" ref="AK9">AK7*INDEX(LoanCohortRate,$A6)</f>
        <v>0</v>
      </c>
      <c r="AL9" s="221" cm="1">
        <f t="array" ref="AL9">AL7*INDEX(LoanCohortRate,$A6)</f>
        <v>0</v>
      </c>
      <c r="AM9" s="221" cm="1">
        <f t="array" ref="AM9">AM7*INDEX(LoanCohortRate,$A6)</f>
        <v>0</v>
      </c>
      <c r="AN9" s="221" cm="1">
        <f t="array" ref="AN9">AN7*INDEX(LoanCohortRate,$A6)</f>
        <v>0</v>
      </c>
      <c r="AO9" s="221" cm="1">
        <f t="array" ref="AO9">AO7*INDEX(LoanCohortRate,$A6)</f>
        <v>0</v>
      </c>
      <c r="AP9" s="221" cm="1">
        <f t="array" ref="AP9">AP7*INDEX(LoanCohortRate,$A6)</f>
        <v>0</v>
      </c>
      <c r="AQ9" s="221" cm="1">
        <f t="array" ref="AQ9">AQ7*INDEX(LoanCohortRate,$A6)</f>
        <v>0</v>
      </c>
      <c r="AR9" s="221" cm="1">
        <f t="array" ref="AR9">AR7*INDEX(LoanCohortRate,$A6)</f>
        <v>0</v>
      </c>
      <c r="AS9" s="221" cm="1">
        <f t="array" ref="AS9">AS7*INDEX(LoanCohortRate,$A6)</f>
        <v>0</v>
      </c>
      <c r="AT9" s="221" cm="1">
        <f t="array" ref="AT9">AT7*INDEX(LoanCohortRate,$A6)</f>
        <v>0</v>
      </c>
      <c r="AU9" s="221" cm="1">
        <f t="array" ref="AU9">AU7*INDEX(LoanCohortRate,$A6)</f>
        <v>0</v>
      </c>
      <c r="AV9" s="221" cm="1">
        <f t="array" ref="AV9">AV7*INDEX(LoanCohortRate,$A6)</f>
        <v>0</v>
      </c>
      <c r="AW9" s="221" cm="1">
        <f t="array" ref="AW9">AW7*INDEX(LoanCohortRate,$A6)</f>
        <v>0</v>
      </c>
      <c r="AX9" s="221" cm="1">
        <f t="array" ref="AX9">AX7*INDEX(LoanCohortRate,$A6)</f>
        <v>0</v>
      </c>
      <c r="AY9" s="221" cm="1">
        <f t="array" ref="AY9">AY7*INDEX(LoanCohortRate,$A6)</f>
        <v>0</v>
      </c>
      <c r="AZ9" s="221" cm="1">
        <f t="array" ref="AZ9">AZ7*INDEX(LoanCohortRate,$A6)</f>
        <v>0</v>
      </c>
      <c r="BA9" s="221" cm="1">
        <f t="array" ref="BA9">BA7*INDEX(LoanCohortRate,$A6)</f>
        <v>0</v>
      </c>
      <c r="BB9" s="221" cm="1">
        <f t="array" ref="BB9">BB7*INDEX(LoanCohortRate,$A6)</f>
        <v>0</v>
      </c>
      <c r="BC9" s="221" cm="1">
        <f t="array" ref="BC9">BC7*INDEX(LoanCohortRate,$A6)</f>
        <v>0</v>
      </c>
      <c r="BD9" s="221" cm="1">
        <f t="array" ref="BD9">BD7*INDEX(LoanCohortRate,$A6)</f>
        <v>0</v>
      </c>
      <c r="BE9" s="221" cm="1">
        <f t="array" ref="BE9">BE7*INDEX(LoanCohortRate,$A6)</f>
        <v>0</v>
      </c>
      <c r="BF9" s="221" cm="1">
        <f t="array" ref="BF9">BF7*INDEX(LoanCohortRate,$A6)</f>
        <v>0</v>
      </c>
      <c r="BG9" s="221" cm="1">
        <f t="array" ref="BG9">BG7*INDEX(LoanCohortRate,$A6)</f>
        <v>0</v>
      </c>
      <c r="BH9" s="221" cm="1">
        <f t="array" ref="BH9">BH7*INDEX(LoanCohortRate,$A6)</f>
        <v>0</v>
      </c>
      <c r="BI9" s="221" cm="1">
        <f t="array" ref="BI9">BI7*INDEX(LoanCohortRate,$A6)</f>
        <v>0</v>
      </c>
      <c r="BJ9" s="221" cm="1">
        <f t="array" ref="BJ9">BJ7*INDEX(LoanCohortRate,$A6)</f>
        <v>0</v>
      </c>
      <c r="BK9" s="221" cm="1">
        <f t="array" ref="BK9">BK7*INDEX(LoanCohortRate,$A6)</f>
        <v>0</v>
      </c>
    </row>
    <row r="10" spans="1:63" ht="7.8" x14ac:dyDescent="0.15">
      <c r="A10" s="218" t="s">
        <v>177</v>
      </c>
      <c r="B10" s="201"/>
      <c r="C10" s="201"/>
      <c r="D10" s="219">
        <f>D8-D9</f>
        <v>1.2201445441303251</v>
      </c>
      <c r="E10" s="222">
        <f t="shared" ref="E10" si="130">E8-E9</f>
        <v>1.23844671229228</v>
      </c>
      <c r="F10" s="222">
        <f t="shared" ref="F10:BK10" si="131">F8-F9</f>
        <v>1.2570234129766642</v>
      </c>
      <c r="G10" s="222">
        <f t="shared" si="131"/>
        <v>1.2758787641713143</v>
      </c>
      <c r="H10" s="222">
        <f t="shared" si="131"/>
        <v>1.2950169456338838</v>
      </c>
      <c r="I10" s="222">
        <f t="shared" si="131"/>
        <v>1.3144421998183922</v>
      </c>
      <c r="J10" s="222">
        <f t="shared" si="131"/>
        <v>1.3341588328156679</v>
      </c>
      <c r="K10" s="222">
        <f t="shared" si="131"/>
        <v>1.3541712153079031</v>
      </c>
      <c r="L10" s="222">
        <f t="shared" si="131"/>
        <v>1.3744837835375217</v>
      </c>
      <c r="M10" s="222">
        <f t="shared" si="131"/>
        <v>1.3951010402905843</v>
      </c>
      <c r="N10" s="222">
        <f t="shared" si="131"/>
        <v>1.4160275558949431</v>
      </c>
      <c r="O10" s="222">
        <f t="shared" si="131"/>
        <v>1.4372679692333672</v>
      </c>
      <c r="P10" s="222">
        <f t="shared" si="131"/>
        <v>1.4588269887718677</v>
      </c>
      <c r="Q10" s="222">
        <f t="shared" si="131"/>
        <v>1.4807093936034459</v>
      </c>
      <c r="R10" s="222">
        <f t="shared" si="131"/>
        <v>1.5029200345074976</v>
      </c>
      <c r="S10" s="222">
        <f t="shared" si="131"/>
        <v>1.52546383502511</v>
      </c>
      <c r="T10" s="222">
        <f t="shared" si="131"/>
        <v>1.5483457925504867</v>
      </c>
      <c r="U10" s="222">
        <f t="shared" si="131"/>
        <v>1.5715709794387438</v>
      </c>
      <c r="V10" s="222">
        <f t="shared" si="131"/>
        <v>0</v>
      </c>
      <c r="W10" s="222">
        <f t="shared" si="131"/>
        <v>0</v>
      </c>
      <c r="X10" s="222">
        <f t="shared" si="131"/>
        <v>0</v>
      </c>
      <c r="Y10" s="222">
        <f t="shared" si="131"/>
        <v>0</v>
      </c>
      <c r="Z10" s="222">
        <f t="shared" si="131"/>
        <v>0</v>
      </c>
      <c r="AA10" s="222">
        <f t="shared" si="131"/>
        <v>0</v>
      </c>
      <c r="AB10" s="222">
        <f t="shared" si="131"/>
        <v>0</v>
      </c>
      <c r="AC10" s="222">
        <f t="shared" si="131"/>
        <v>0</v>
      </c>
      <c r="AD10" s="222">
        <f t="shared" si="131"/>
        <v>0</v>
      </c>
      <c r="AE10" s="222">
        <f t="shared" si="131"/>
        <v>0</v>
      </c>
      <c r="AF10" s="222">
        <f t="shared" si="131"/>
        <v>0</v>
      </c>
      <c r="AG10" s="222">
        <f t="shared" si="131"/>
        <v>0</v>
      </c>
      <c r="AH10" s="222">
        <f t="shared" si="131"/>
        <v>0</v>
      </c>
      <c r="AI10" s="222">
        <f t="shared" si="131"/>
        <v>0</v>
      </c>
      <c r="AJ10" s="222">
        <f t="shared" si="131"/>
        <v>0</v>
      </c>
      <c r="AK10" s="222">
        <f t="shared" si="131"/>
        <v>0</v>
      </c>
      <c r="AL10" s="222">
        <f t="shared" si="131"/>
        <v>0</v>
      </c>
      <c r="AM10" s="222">
        <f t="shared" si="131"/>
        <v>0</v>
      </c>
      <c r="AN10" s="222">
        <f t="shared" si="131"/>
        <v>0</v>
      </c>
      <c r="AO10" s="222">
        <f t="shared" si="131"/>
        <v>0</v>
      </c>
      <c r="AP10" s="222">
        <f t="shared" si="131"/>
        <v>0</v>
      </c>
      <c r="AQ10" s="222">
        <f t="shared" si="131"/>
        <v>0</v>
      </c>
      <c r="AR10" s="222">
        <f t="shared" si="131"/>
        <v>0</v>
      </c>
      <c r="AS10" s="222">
        <f t="shared" si="131"/>
        <v>0</v>
      </c>
      <c r="AT10" s="222">
        <f t="shared" si="131"/>
        <v>0</v>
      </c>
      <c r="AU10" s="222">
        <f t="shared" si="131"/>
        <v>0</v>
      </c>
      <c r="AV10" s="222">
        <f t="shared" si="131"/>
        <v>0</v>
      </c>
      <c r="AW10" s="222">
        <f t="shared" si="131"/>
        <v>0</v>
      </c>
      <c r="AX10" s="222">
        <f t="shared" si="131"/>
        <v>0</v>
      </c>
      <c r="AY10" s="222">
        <f t="shared" si="131"/>
        <v>0</v>
      </c>
      <c r="AZ10" s="222">
        <f t="shared" si="131"/>
        <v>0</v>
      </c>
      <c r="BA10" s="222">
        <f t="shared" si="131"/>
        <v>0</v>
      </c>
      <c r="BB10" s="222">
        <f t="shared" si="131"/>
        <v>0</v>
      </c>
      <c r="BC10" s="222">
        <f t="shared" si="131"/>
        <v>0</v>
      </c>
      <c r="BD10" s="222">
        <f t="shared" si="131"/>
        <v>0</v>
      </c>
      <c r="BE10" s="222">
        <f t="shared" si="131"/>
        <v>0</v>
      </c>
      <c r="BF10" s="222">
        <f t="shared" si="131"/>
        <v>0</v>
      </c>
      <c r="BG10" s="222">
        <f t="shared" si="131"/>
        <v>0</v>
      </c>
      <c r="BH10" s="222">
        <f t="shared" si="131"/>
        <v>0</v>
      </c>
      <c r="BI10" s="222">
        <f t="shared" si="131"/>
        <v>0</v>
      </c>
      <c r="BJ10" s="222">
        <f t="shared" si="131"/>
        <v>0</v>
      </c>
      <c r="BK10" s="222">
        <f t="shared" si="131"/>
        <v>0</v>
      </c>
    </row>
    <row r="11" spans="1:63" ht="7.8" x14ac:dyDescent="0.15">
      <c r="A11" s="205" t="s">
        <v>7</v>
      </c>
      <c r="B11" s="199"/>
      <c r="C11" s="199"/>
      <c r="D11" s="214" cm="1">
        <f t="array" ref="D11">INDEX(LoanOriginations,$A6)</f>
        <v>100</v>
      </c>
      <c r="E11" s="254">
        <f t="shared" ref="E11:AJ11" si="132">D11*(1-MitigateDelinquency*MitigateChargeoff)  *  IF(E6=0,0,IF(E6-102=LoanSaleHeld,0.6,1))</f>
        <v>99.9</v>
      </c>
      <c r="F11" s="199">
        <f t="shared" si="132"/>
        <v>99.8001</v>
      </c>
      <c r="G11" s="199">
        <f t="shared" si="132"/>
        <v>99.700299900000005</v>
      </c>
      <c r="H11" s="199">
        <f t="shared" si="132"/>
        <v>59.760359760060005</v>
      </c>
      <c r="I11" s="199">
        <f t="shared" si="132"/>
        <v>59.700599400299943</v>
      </c>
      <c r="J11" s="199">
        <f t="shared" si="132"/>
        <v>59.640898800899642</v>
      </c>
      <c r="K11" s="199">
        <f t="shared" si="132"/>
        <v>59.581257902098741</v>
      </c>
      <c r="L11" s="199">
        <f t="shared" si="132"/>
        <v>59.521676644196646</v>
      </c>
      <c r="M11" s="199">
        <f t="shared" si="132"/>
        <v>59.462154967552451</v>
      </c>
      <c r="N11" s="199">
        <f t="shared" si="132"/>
        <v>59.402692812584895</v>
      </c>
      <c r="O11" s="199">
        <f t="shared" si="132"/>
        <v>59.343290119772313</v>
      </c>
      <c r="P11" s="199">
        <f t="shared" si="132"/>
        <v>59.283946829652542</v>
      </c>
      <c r="Q11" s="199">
        <f t="shared" si="132"/>
        <v>59.224662882822891</v>
      </c>
      <c r="R11" s="199">
        <f t="shared" si="132"/>
        <v>59.165438219940064</v>
      </c>
      <c r="S11" s="199">
        <f t="shared" si="132"/>
        <v>59.106272781720122</v>
      </c>
      <c r="T11" s="199">
        <f t="shared" si="132"/>
        <v>59.047166508938403</v>
      </c>
      <c r="U11" s="199">
        <f t="shared" si="132"/>
        <v>58.988119342429464</v>
      </c>
      <c r="V11" s="199">
        <f t="shared" si="132"/>
        <v>0</v>
      </c>
      <c r="W11" s="199">
        <f t="shared" si="132"/>
        <v>0</v>
      </c>
      <c r="X11" s="199">
        <f t="shared" si="132"/>
        <v>0</v>
      </c>
      <c r="Y11" s="199">
        <f t="shared" si="132"/>
        <v>0</v>
      </c>
      <c r="Z11" s="199">
        <f t="shared" si="132"/>
        <v>0</v>
      </c>
      <c r="AA11" s="199">
        <f t="shared" si="132"/>
        <v>0</v>
      </c>
      <c r="AB11" s="199">
        <f t="shared" si="132"/>
        <v>0</v>
      </c>
      <c r="AC11" s="199">
        <f t="shared" si="132"/>
        <v>0</v>
      </c>
      <c r="AD11" s="199">
        <f t="shared" si="132"/>
        <v>0</v>
      </c>
      <c r="AE11" s="199">
        <f t="shared" si="132"/>
        <v>0</v>
      </c>
      <c r="AF11" s="199">
        <f t="shared" si="132"/>
        <v>0</v>
      </c>
      <c r="AG11" s="199">
        <f t="shared" si="132"/>
        <v>0</v>
      </c>
      <c r="AH11" s="199">
        <f t="shared" si="132"/>
        <v>0</v>
      </c>
      <c r="AI11" s="199">
        <f t="shared" si="132"/>
        <v>0</v>
      </c>
      <c r="AJ11" s="199">
        <f t="shared" si="132"/>
        <v>0</v>
      </c>
      <c r="AK11" s="199">
        <f t="shared" ref="AK11:BK11" si="133">AJ11*(1-MitigateDelinquency*MitigateChargeoff)  *  IF(AK6=0,0,IF(AK6-102=LoanSaleHeld,0.6,1))</f>
        <v>0</v>
      </c>
      <c r="AL11" s="199">
        <f t="shared" si="133"/>
        <v>0</v>
      </c>
      <c r="AM11" s="199">
        <f t="shared" si="133"/>
        <v>0</v>
      </c>
      <c r="AN11" s="199">
        <f t="shared" si="133"/>
        <v>0</v>
      </c>
      <c r="AO11" s="199">
        <f t="shared" si="133"/>
        <v>0</v>
      </c>
      <c r="AP11" s="199">
        <f t="shared" si="133"/>
        <v>0</v>
      </c>
      <c r="AQ11" s="199">
        <f t="shared" si="133"/>
        <v>0</v>
      </c>
      <c r="AR11" s="199">
        <f t="shared" si="133"/>
        <v>0</v>
      </c>
      <c r="AS11" s="199">
        <f t="shared" si="133"/>
        <v>0</v>
      </c>
      <c r="AT11" s="199">
        <f t="shared" si="133"/>
        <v>0</v>
      </c>
      <c r="AU11" s="199">
        <f t="shared" si="133"/>
        <v>0</v>
      </c>
      <c r="AV11" s="199">
        <f t="shared" si="133"/>
        <v>0</v>
      </c>
      <c r="AW11" s="199">
        <f t="shared" si="133"/>
        <v>0</v>
      </c>
      <c r="AX11" s="199">
        <f t="shared" si="133"/>
        <v>0</v>
      </c>
      <c r="AY11" s="199">
        <f t="shared" si="133"/>
        <v>0</v>
      </c>
      <c r="AZ11" s="199">
        <f t="shared" si="133"/>
        <v>0</v>
      </c>
      <c r="BA11" s="199">
        <f t="shared" si="133"/>
        <v>0</v>
      </c>
      <c r="BB11" s="199">
        <f t="shared" si="133"/>
        <v>0</v>
      </c>
      <c r="BC11" s="199">
        <f t="shared" si="133"/>
        <v>0</v>
      </c>
      <c r="BD11" s="199">
        <f t="shared" si="133"/>
        <v>0</v>
      </c>
      <c r="BE11" s="199">
        <f t="shared" si="133"/>
        <v>0</v>
      </c>
      <c r="BF11" s="199">
        <f t="shared" si="133"/>
        <v>0</v>
      </c>
      <c r="BG11" s="199">
        <f t="shared" si="133"/>
        <v>0</v>
      </c>
      <c r="BH11" s="199">
        <f t="shared" si="133"/>
        <v>0</v>
      </c>
      <c r="BI11" s="199">
        <f t="shared" si="133"/>
        <v>0</v>
      </c>
      <c r="BJ11" s="199">
        <f t="shared" si="133"/>
        <v>0</v>
      </c>
      <c r="BK11" s="199">
        <f t="shared" si="133"/>
        <v>0</v>
      </c>
    </row>
    <row r="12" spans="1:63" ht="7.8" x14ac:dyDescent="0.15">
      <c r="A12" s="207" t="s">
        <v>96</v>
      </c>
      <c r="B12" s="200"/>
      <c r="C12" s="200"/>
      <c r="D12" s="223">
        <f>D9*D11</f>
        <v>37.5</v>
      </c>
      <c r="E12" s="200">
        <f>E9*E11</f>
        <v>35.634113400620706</v>
      </c>
      <c r="F12" s="200">
        <f t="shared" ref="F12" si="134">F9*F11</f>
        <v>33.744522701248478</v>
      </c>
      <c r="G12" s="200">
        <f>G9*G11</f>
        <v>31.830894009720804</v>
      </c>
      <c r="H12" s="200">
        <f>H9*H11</f>
        <v>17.935733260070176</v>
      </c>
      <c r="I12" s="200">
        <f t="shared" ref="I12" si="135">I9*I11</f>
        <v>16.758098208491777</v>
      </c>
      <c r="J12" s="200">
        <f t="shared" ref="J12" si="136">J9*J11</f>
        <v>15.565422396998276</v>
      </c>
      <c r="K12" s="200">
        <f t="shared" ref="K12" si="137">K9*K11</f>
        <v>14.357494052095978</v>
      </c>
      <c r="L12" s="200">
        <f t="shared" ref="L12" si="138">L9*L11</f>
        <v>13.134098440067346</v>
      </c>
      <c r="M12" s="200">
        <f t="shared" ref="M12" si="139">M9*M11</f>
        <v>11.895017825570839</v>
      </c>
      <c r="N12" s="200">
        <f t="shared" ref="N12" si="140">N9*N11</f>
        <v>10.64003142966178</v>
      </c>
      <c r="O12" s="200">
        <f t="shared" ref="O12" si="141">O9*O11</f>
        <v>9.368915387226135</v>
      </c>
      <c r="P12" s="200">
        <f t="shared" ref="P12" si="142">P9*P11</f>
        <v>8.081442703819004</v>
      </c>
      <c r="Q12" s="200">
        <f t="shared" ref="Q12" si="143">Q9*Q11</f>
        <v>6.7773832118995214</v>
      </c>
      <c r="R12" s="200">
        <f t="shared" ref="R12" si="144">R9*R11</f>
        <v>5.4565035264536776</v>
      </c>
      <c r="S12" s="200">
        <f t="shared" ref="S12" si="145">S9*S11</f>
        <v>4.1185669999965384</v>
      </c>
      <c r="T12" s="200">
        <f t="shared" ref="T12" si="146">T9*T11</f>
        <v>2.7633336769451713</v>
      </c>
      <c r="U12" s="200">
        <f t="shared" ref="U12" si="147">U9*U11</f>
        <v>1.3905602473534764</v>
      </c>
      <c r="V12" s="200">
        <f t="shared" ref="V12" si="148">V9*V11</f>
        <v>0</v>
      </c>
      <c r="W12" s="200">
        <f t="shared" ref="W12" si="149">W9*W11</f>
        <v>0</v>
      </c>
      <c r="X12" s="200">
        <f t="shared" ref="X12" si="150">X9*X11</f>
        <v>0</v>
      </c>
      <c r="Y12" s="200">
        <f t="shared" ref="Y12" si="151">Y9*Y11</f>
        <v>0</v>
      </c>
      <c r="Z12" s="200">
        <f t="shared" ref="Z12" si="152">Z9*Z11</f>
        <v>0</v>
      </c>
      <c r="AA12" s="200">
        <f t="shared" ref="AA12" si="153">AA9*AA11</f>
        <v>0</v>
      </c>
      <c r="AB12" s="200">
        <f t="shared" ref="AB12" si="154">AB9*AB11</f>
        <v>0</v>
      </c>
      <c r="AC12" s="200">
        <f t="shared" ref="AC12" si="155">AC9*AC11</f>
        <v>0</v>
      </c>
      <c r="AD12" s="200">
        <f t="shared" ref="AD12" si="156">AD9*AD11</f>
        <v>0</v>
      </c>
      <c r="AE12" s="200">
        <f t="shared" ref="AE12" si="157">AE9*AE11</f>
        <v>0</v>
      </c>
      <c r="AF12" s="200">
        <f t="shared" ref="AF12" si="158">AF9*AF11</f>
        <v>0</v>
      </c>
      <c r="AG12" s="200">
        <f t="shared" ref="AG12" si="159">AG9*AG11</f>
        <v>0</v>
      </c>
      <c r="AH12" s="200">
        <f t="shared" ref="AH12" si="160">AH9*AH11</f>
        <v>0</v>
      </c>
      <c r="AI12" s="200">
        <f t="shared" ref="AI12" si="161">AI9*AI11</f>
        <v>0</v>
      </c>
      <c r="AJ12" s="200">
        <f t="shared" ref="AJ12" si="162">AJ9*AJ11</f>
        <v>0</v>
      </c>
      <c r="AK12" s="200">
        <f t="shared" ref="AK12" si="163">AK9*AK11</f>
        <v>0</v>
      </c>
      <c r="AL12" s="200">
        <f t="shared" ref="AL12" si="164">AL9*AL11</f>
        <v>0</v>
      </c>
      <c r="AM12" s="200">
        <f t="shared" ref="AM12" si="165">AM9*AM11</f>
        <v>0</v>
      </c>
      <c r="AN12" s="200">
        <f t="shared" ref="AN12" si="166">AN9*AN11</f>
        <v>0</v>
      </c>
      <c r="AO12" s="200">
        <f t="shared" ref="AO12" si="167">AO9*AO11</f>
        <v>0</v>
      </c>
      <c r="AP12" s="200">
        <f t="shared" ref="AP12" si="168">AP9*AP11</f>
        <v>0</v>
      </c>
      <c r="AQ12" s="200">
        <f t="shared" ref="AQ12" si="169">AQ9*AQ11</f>
        <v>0</v>
      </c>
      <c r="AR12" s="200">
        <f t="shared" ref="AR12" si="170">AR9*AR11</f>
        <v>0</v>
      </c>
      <c r="AS12" s="200">
        <f t="shared" ref="AS12" si="171">AS9*AS11</f>
        <v>0</v>
      </c>
      <c r="AT12" s="200">
        <f t="shared" ref="AT12" si="172">AT9*AT11</f>
        <v>0</v>
      </c>
      <c r="AU12" s="200">
        <f t="shared" ref="AU12" si="173">AU9*AU11</f>
        <v>0</v>
      </c>
      <c r="AV12" s="200">
        <f t="shared" ref="AV12" si="174">AV9*AV11</f>
        <v>0</v>
      </c>
      <c r="AW12" s="200">
        <f t="shared" ref="AW12" si="175">AW9*AW11</f>
        <v>0</v>
      </c>
      <c r="AX12" s="200">
        <f t="shared" ref="AX12" si="176">AX9*AX11</f>
        <v>0</v>
      </c>
      <c r="AY12" s="200">
        <f t="shared" ref="AY12" si="177">AY9*AY11</f>
        <v>0</v>
      </c>
      <c r="AZ12" s="200">
        <f t="shared" ref="AZ12" si="178">AZ9*AZ11</f>
        <v>0</v>
      </c>
      <c r="BA12" s="200">
        <f t="shared" ref="BA12" si="179">BA9*BA11</f>
        <v>0</v>
      </c>
      <c r="BB12" s="200">
        <f t="shared" ref="BB12" si="180">BB9*BB11</f>
        <v>0</v>
      </c>
      <c r="BC12" s="200">
        <f t="shared" ref="BC12" si="181">BC9*BC11</f>
        <v>0</v>
      </c>
      <c r="BD12" s="200">
        <f t="shared" ref="BD12" si="182">BD9*BD11</f>
        <v>0</v>
      </c>
      <c r="BE12" s="200">
        <f t="shared" ref="BE12" si="183">BE9*BE11</f>
        <v>0</v>
      </c>
      <c r="BF12" s="200">
        <f t="shared" ref="BF12" si="184">BF9*BF11</f>
        <v>0</v>
      </c>
      <c r="BG12" s="200">
        <f t="shared" ref="BG12" si="185">BG9*BG11</f>
        <v>0</v>
      </c>
      <c r="BH12" s="200">
        <f t="shared" ref="BH12" si="186">BH9*BH11</f>
        <v>0</v>
      </c>
      <c r="BI12" s="200">
        <f t="shared" ref="BI12" si="187">BI9*BI11</f>
        <v>0</v>
      </c>
      <c r="BJ12" s="200">
        <f t="shared" ref="BJ12" si="188">BJ9*BJ11</f>
        <v>0</v>
      </c>
      <c r="BK12" s="200">
        <f t="shared" ref="BK12" si="189">BK9*BK11</f>
        <v>0</v>
      </c>
    </row>
    <row r="13" spans="1:63" ht="7.8" x14ac:dyDescent="0.15">
      <c r="A13" s="206" t="s">
        <v>97</v>
      </c>
      <c r="B13" s="200"/>
      <c r="C13" s="200"/>
      <c r="D13" s="223">
        <f t="shared" ref="D13:I13" si="190">D10*D11</f>
        <v>122.01445441303251</v>
      </c>
      <c r="E13" s="200">
        <f t="shared" si="190"/>
        <v>123.72082655799878</v>
      </c>
      <c r="F13" s="200">
        <f t="shared" si="190"/>
        <v>125.45106231741238</v>
      </c>
      <c r="G13" s="200">
        <f t="shared" si="190"/>
        <v>127.20549542392142</v>
      </c>
      <c r="H13" s="200">
        <f t="shared" si="190"/>
        <v>77.390678566454966</v>
      </c>
      <c r="I13" s="200">
        <f t="shared" si="190"/>
        <v>78.472987206206838</v>
      </c>
      <c r="J13" s="200">
        <f t="shared" ref="J13:BK13" si="191">J10*J11</f>
        <v>79.570431932285629</v>
      </c>
      <c r="K13" s="200">
        <f t="shared" si="191"/>
        <v>80.683224422858657</v>
      </c>
      <c r="L13" s="200">
        <f t="shared" si="191"/>
        <v>81.811579316412335</v>
      </c>
      <c r="M13" s="200">
        <f t="shared" si="191"/>
        <v>82.955714253152365</v>
      </c>
      <c r="N13" s="200">
        <f t="shared" si="191"/>
        <v>84.115849916982697</v>
      </c>
      <c r="O13" s="200">
        <f t="shared" si="191"/>
        <v>85.29221007807169</v>
      </c>
      <c r="P13" s="200">
        <f t="shared" si="191"/>
        <v>86.485021636013528</v>
      </c>
      <c r="Q13" s="200">
        <f t="shared" si="191"/>
        <v>87.694514663593196</v>
      </c>
      <c r="R13" s="200">
        <f t="shared" si="191"/>
        <v>88.920922451163534</v>
      </c>
      <c r="S13" s="200">
        <f t="shared" si="191"/>
        <v>90.16448155164305</v>
      </c>
      <c r="T13" s="200">
        <f t="shared" si="191"/>
        <v>91.425431826142784</v>
      </c>
      <c r="U13" s="200">
        <f t="shared" si="191"/>
        <v>92.704016490231382</v>
      </c>
      <c r="V13" s="200">
        <f t="shared" si="191"/>
        <v>0</v>
      </c>
      <c r="W13" s="200">
        <f t="shared" si="191"/>
        <v>0</v>
      </c>
      <c r="X13" s="200">
        <f t="shared" si="191"/>
        <v>0</v>
      </c>
      <c r="Y13" s="200">
        <f t="shared" si="191"/>
        <v>0</v>
      </c>
      <c r="Z13" s="200">
        <f t="shared" si="191"/>
        <v>0</v>
      </c>
      <c r="AA13" s="200">
        <f t="shared" si="191"/>
        <v>0</v>
      </c>
      <c r="AB13" s="200">
        <f t="shared" si="191"/>
        <v>0</v>
      </c>
      <c r="AC13" s="200">
        <f t="shared" si="191"/>
        <v>0</v>
      </c>
      <c r="AD13" s="200">
        <f t="shared" si="191"/>
        <v>0</v>
      </c>
      <c r="AE13" s="200">
        <f t="shared" si="191"/>
        <v>0</v>
      </c>
      <c r="AF13" s="200">
        <f t="shared" si="191"/>
        <v>0</v>
      </c>
      <c r="AG13" s="200">
        <f t="shared" si="191"/>
        <v>0</v>
      </c>
      <c r="AH13" s="200">
        <f t="shared" si="191"/>
        <v>0</v>
      </c>
      <c r="AI13" s="200">
        <f t="shared" si="191"/>
        <v>0</v>
      </c>
      <c r="AJ13" s="200">
        <f t="shared" si="191"/>
        <v>0</v>
      </c>
      <c r="AK13" s="200">
        <f t="shared" si="191"/>
        <v>0</v>
      </c>
      <c r="AL13" s="200">
        <f t="shared" si="191"/>
        <v>0</v>
      </c>
      <c r="AM13" s="200">
        <f t="shared" si="191"/>
        <v>0</v>
      </c>
      <c r="AN13" s="200">
        <f t="shared" si="191"/>
        <v>0</v>
      </c>
      <c r="AO13" s="200">
        <f t="shared" si="191"/>
        <v>0</v>
      </c>
      <c r="AP13" s="200">
        <f t="shared" si="191"/>
        <v>0</v>
      </c>
      <c r="AQ13" s="200">
        <f t="shared" si="191"/>
        <v>0</v>
      </c>
      <c r="AR13" s="200">
        <f t="shared" si="191"/>
        <v>0</v>
      </c>
      <c r="AS13" s="200">
        <f t="shared" si="191"/>
        <v>0</v>
      </c>
      <c r="AT13" s="200">
        <f t="shared" si="191"/>
        <v>0</v>
      </c>
      <c r="AU13" s="200">
        <f t="shared" si="191"/>
        <v>0</v>
      </c>
      <c r="AV13" s="200">
        <f t="shared" si="191"/>
        <v>0</v>
      </c>
      <c r="AW13" s="200">
        <f t="shared" si="191"/>
        <v>0</v>
      </c>
      <c r="AX13" s="200">
        <f t="shared" si="191"/>
        <v>0</v>
      </c>
      <c r="AY13" s="200">
        <f t="shared" si="191"/>
        <v>0</v>
      </c>
      <c r="AZ13" s="200">
        <f t="shared" si="191"/>
        <v>0</v>
      </c>
      <c r="BA13" s="200">
        <f t="shared" si="191"/>
        <v>0</v>
      </c>
      <c r="BB13" s="200">
        <f t="shared" si="191"/>
        <v>0</v>
      </c>
      <c r="BC13" s="200">
        <f t="shared" si="191"/>
        <v>0</v>
      </c>
      <c r="BD13" s="200">
        <f t="shared" si="191"/>
        <v>0</v>
      </c>
      <c r="BE13" s="200">
        <f t="shared" si="191"/>
        <v>0</v>
      </c>
      <c r="BF13" s="200">
        <f t="shared" si="191"/>
        <v>0</v>
      </c>
      <c r="BG13" s="200">
        <f t="shared" si="191"/>
        <v>0</v>
      </c>
      <c r="BH13" s="200">
        <f t="shared" si="191"/>
        <v>0</v>
      </c>
      <c r="BI13" s="200">
        <f t="shared" si="191"/>
        <v>0</v>
      </c>
      <c r="BJ13" s="200">
        <f t="shared" si="191"/>
        <v>0</v>
      </c>
      <c r="BK13" s="200">
        <f t="shared" si="191"/>
        <v>0</v>
      </c>
    </row>
    <row r="14" spans="1:63" ht="7.8" x14ac:dyDescent="0.15">
      <c r="A14" s="208" t="s">
        <v>203</v>
      </c>
      <c r="B14" s="200"/>
      <c r="C14" s="200"/>
      <c r="D14" s="224">
        <f>IF(D6-101&lt;&gt;LoanSaleHeld,0,SUM($D13:D13)*LoanSalePercent)</f>
        <v>0</v>
      </c>
      <c r="E14" s="225">
        <f>IF(E6-101&lt;&gt;LoanSaleHeld,0,SUM($D13:E13)*LoanSalePercent)</f>
        <v>0</v>
      </c>
      <c r="F14" s="225">
        <f>IF(F6-101&lt;&gt;LoanSaleHeld,0,SUM($D13:F13)*LoanSalePercent)</f>
        <v>0</v>
      </c>
      <c r="G14" s="225">
        <f>IF(G6-101&lt;&gt;LoanSaleHeld,0,SUM($D13:G13)*LoanSalePercent)</f>
        <v>199.35673548494606</v>
      </c>
      <c r="H14" s="225">
        <f>IF(H6-101&lt;&gt;LoanSaleHeld,0,SUM($D13:H13)*LoanSalePercent)</f>
        <v>0</v>
      </c>
      <c r="I14" s="225">
        <f>IF(I6-101&lt;&gt;LoanSaleHeld,0,SUM($D13:I13)*LoanSalePercent)</f>
        <v>0</v>
      </c>
      <c r="J14" s="225">
        <f>IF(J6-101&lt;&gt;LoanSaleHeld,0,SUM($D13:J13)*LoanSalePercent)</f>
        <v>0</v>
      </c>
      <c r="K14" s="225">
        <f>IF(K6-101&lt;&gt;LoanSaleHeld,0,SUM($D13:K13)*LoanSalePercent)</f>
        <v>0</v>
      </c>
      <c r="L14" s="225">
        <f>IF(L6-101&lt;&gt;LoanSaleHeld,0,SUM($D13:L13)*LoanSalePercent)</f>
        <v>0</v>
      </c>
      <c r="M14" s="225">
        <f>IF(M6-101&lt;&gt;LoanSaleHeld,0,SUM($D13:M13)*LoanSalePercent)</f>
        <v>0</v>
      </c>
      <c r="N14" s="225">
        <f>IF(N6-101&lt;&gt;LoanSaleHeld,0,SUM($D13:N13)*LoanSalePercent)</f>
        <v>0</v>
      </c>
      <c r="O14" s="225">
        <f>IF(O6-101&lt;&gt;LoanSaleHeld,0,SUM($D13:O13)*LoanSalePercent)</f>
        <v>0</v>
      </c>
      <c r="P14" s="225">
        <f>IF(P6-101&lt;&gt;LoanSaleHeld,0,SUM($D13:P13)*LoanSalePercent)</f>
        <v>0</v>
      </c>
      <c r="Q14" s="225">
        <f>IF(Q6-101&lt;&gt;LoanSaleHeld,0,SUM($D13:Q13)*LoanSalePercent)</f>
        <v>0</v>
      </c>
      <c r="R14" s="225">
        <f>IF(R6-101&lt;&gt;LoanSaleHeld,0,SUM($D13:R13)*LoanSalePercent)</f>
        <v>0</v>
      </c>
      <c r="S14" s="225">
        <f>IF(S6-101&lt;&gt;LoanSaleHeld,0,SUM($D13:S13)*LoanSalePercent)</f>
        <v>0</v>
      </c>
      <c r="T14" s="225">
        <f>IF(T6-101&lt;&gt;LoanSaleHeld,0,SUM($D13:T13)*LoanSalePercent)</f>
        <v>0</v>
      </c>
      <c r="U14" s="225">
        <f>IF(U6-101&lt;&gt;LoanSaleHeld,0,SUM($D13:U13)*LoanSalePercent)</f>
        <v>0</v>
      </c>
      <c r="V14" s="225">
        <f>IF(V6-101&lt;&gt;LoanSaleHeld,0,SUM($D13:V13)*LoanSalePercent)</f>
        <v>0</v>
      </c>
      <c r="W14" s="225">
        <f>IF(W6-101&lt;&gt;LoanSaleHeld,0,SUM($D13:W13)*LoanSalePercent)</f>
        <v>0</v>
      </c>
      <c r="X14" s="225">
        <f>IF(X6-101&lt;&gt;LoanSaleHeld,0,SUM($D13:X13)*LoanSalePercent)</f>
        <v>0</v>
      </c>
      <c r="Y14" s="225">
        <f>IF(Y6-101&lt;&gt;LoanSaleHeld,0,SUM($D13:Y13)*LoanSalePercent)</f>
        <v>0</v>
      </c>
      <c r="Z14" s="225">
        <f>IF(Z6-101&lt;&gt;LoanSaleHeld,0,SUM($D13:Z13)*LoanSalePercent)</f>
        <v>0</v>
      </c>
      <c r="AA14" s="225">
        <f>IF(AA6-101&lt;&gt;LoanSaleHeld,0,SUM($D13:AA13)*LoanSalePercent)</f>
        <v>0</v>
      </c>
      <c r="AB14" s="225">
        <f>IF(AB6-101&lt;&gt;LoanSaleHeld,0,SUM($D13:AB13)*LoanSalePercent)</f>
        <v>0</v>
      </c>
      <c r="AC14" s="225">
        <f>IF(AC6-101&lt;&gt;LoanSaleHeld,0,SUM($D13:AC13)*LoanSalePercent)</f>
        <v>0</v>
      </c>
      <c r="AD14" s="225">
        <f>IF(AD6-101&lt;&gt;LoanSaleHeld,0,SUM($D13:AD13)*LoanSalePercent)</f>
        <v>0</v>
      </c>
      <c r="AE14" s="225">
        <f>IF(AE6-101&lt;&gt;LoanSaleHeld,0,SUM($D13:AE13)*LoanSalePercent)</f>
        <v>0</v>
      </c>
      <c r="AF14" s="225">
        <f>IF(AF6-101&lt;&gt;LoanSaleHeld,0,SUM($D13:AF13)*LoanSalePercent)</f>
        <v>0</v>
      </c>
      <c r="AG14" s="225">
        <f>IF(AG6-101&lt;&gt;LoanSaleHeld,0,SUM($D13:AG13)*LoanSalePercent)</f>
        <v>0</v>
      </c>
      <c r="AH14" s="225">
        <f>IF(AH6-101&lt;&gt;LoanSaleHeld,0,SUM($D13:AH13)*LoanSalePercent)</f>
        <v>0</v>
      </c>
      <c r="AI14" s="225">
        <f>IF(AI6-101&lt;&gt;LoanSaleHeld,0,SUM($D13:AI13)*LoanSalePercent)</f>
        <v>0</v>
      </c>
      <c r="AJ14" s="225">
        <f>IF(AJ6-101&lt;&gt;LoanSaleHeld,0,SUM($D13:AJ13)*LoanSalePercent)</f>
        <v>0</v>
      </c>
      <c r="AK14" s="225">
        <f>IF(AK6-101&lt;&gt;LoanSaleHeld,0,SUM($D13:AK13)*LoanSalePercent)</f>
        <v>0</v>
      </c>
      <c r="AL14" s="225">
        <f>IF(AL6-101&lt;&gt;LoanSaleHeld,0,SUM($D13:AL13)*LoanSalePercent)</f>
        <v>0</v>
      </c>
      <c r="AM14" s="225">
        <f>IF(AM6-101&lt;&gt;LoanSaleHeld,0,SUM($D13:AM13)*LoanSalePercent)</f>
        <v>0</v>
      </c>
      <c r="AN14" s="225">
        <f>IF(AN6-101&lt;&gt;LoanSaleHeld,0,SUM($D13:AN13)*LoanSalePercent)</f>
        <v>0</v>
      </c>
      <c r="AO14" s="225">
        <f>IF(AO6-101&lt;&gt;LoanSaleHeld,0,SUM($D13:AO13)*LoanSalePercent)</f>
        <v>0</v>
      </c>
      <c r="AP14" s="225">
        <f>IF(AP6-101&lt;&gt;LoanSaleHeld,0,SUM($D13:AP13)*LoanSalePercent)</f>
        <v>0</v>
      </c>
      <c r="AQ14" s="225">
        <f>IF(AQ6-101&lt;&gt;LoanSaleHeld,0,SUM($D13:AQ13)*LoanSalePercent)</f>
        <v>0</v>
      </c>
      <c r="AR14" s="225">
        <f>IF(AR6-101&lt;&gt;LoanSaleHeld,0,SUM($D13:AR13)*LoanSalePercent)</f>
        <v>0</v>
      </c>
      <c r="AS14" s="225">
        <f>IF(AS6-101&lt;&gt;LoanSaleHeld,0,SUM($D13:AS13)*LoanSalePercent)</f>
        <v>0</v>
      </c>
      <c r="AT14" s="225">
        <f>IF(AT6-101&lt;&gt;LoanSaleHeld,0,SUM($D13:AT13)*LoanSalePercent)</f>
        <v>0</v>
      </c>
      <c r="AU14" s="225">
        <f>IF(AU6-101&lt;&gt;LoanSaleHeld,0,SUM($D13:AU13)*LoanSalePercent)</f>
        <v>0</v>
      </c>
      <c r="AV14" s="225">
        <f>IF(AV6-101&lt;&gt;LoanSaleHeld,0,SUM($D13:AV13)*LoanSalePercent)</f>
        <v>0</v>
      </c>
      <c r="AW14" s="225">
        <f>IF(AW6-101&lt;&gt;LoanSaleHeld,0,SUM($D13:AW13)*LoanSalePercent)</f>
        <v>0</v>
      </c>
      <c r="AX14" s="225">
        <f>IF(AX6-101&lt;&gt;LoanSaleHeld,0,SUM($D13:AX13)*LoanSalePercent)</f>
        <v>0</v>
      </c>
      <c r="AY14" s="225">
        <f>IF(AY6-101&lt;&gt;LoanSaleHeld,0,SUM($D13:AY13)*LoanSalePercent)</f>
        <v>0</v>
      </c>
      <c r="AZ14" s="225">
        <f>IF(AZ6-101&lt;&gt;LoanSaleHeld,0,SUM($D13:AZ13)*LoanSalePercent)</f>
        <v>0</v>
      </c>
      <c r="BA14" s="225">
        <f>IF(BA6-101&lt;&gt;LoanSaleHeld,0,SUM($D13:BA13)*LoanSalePercent)</f>
        <v>0</v>
      </c>
      <c r="BB14" s="225">
        <f>IF(BB6-101&lt;&gt;LoanSaleHeld,0,SUM($D13:BB13)*LoanSalePercent)</f>
        <v>0</v>
      </c>
      <c r="BC14" s="225">
        <f>IF(BC6-101&lt;&gt;LoanSaleHeld,0,SUM($D13:BC13)*LoanSalePercent)</f>
        <v>0</v>
      </c>
      <c r="BD14" s="225">
        <f>IF(BD6-101&lt;&gt;LoanSaleHeld,0,SUM($D13:BD13)*LoanSalePercent)</f>
        <v>0</v>
      </c>
      <c r="BE14" s="225">
        <f>IF(BE6-101&lt;&gt;LoanSaleHeld,0,SUM($D13:BE13)*LoanSalePercent)</f>
        <v>0</v>
      </c>
      <c r="BF14" s="225">
        <f>IF(BF6-101&lt;&gt;LoanSaleHeld,0,SUM($D13:BF13)*LoanSalePercent)</f>
        <v>0</v>
      </c>
      <c r="BG14" s="225">
        <f>IF(BG6-101&lt;&gt;LoanSaleHeld,0,SUM($D13:BG13)*LoanSalePercent)</f>
        <v>0</v>
      </c>
      <c r="BH14" s="225">
        <f>IF(BH6-101&lt;&gt;LoanSaleHeld,0,SUM($D13:BH13)*LoanSalePercent)</f>
        <v>0</v>
      </c>
      <c r="BI14" s="225">
        <f>IF(BI6-101&lt;&gt;LoanSaleHeld,0,SUM($D13:BI13)*LoanSalePercent)</f>
        <v>0</v>
      </c>
      <c r="BJ14" s="225">
        <f>IF(BJ6-101&lt;&gt;LoanSaleHeld,0,SUM($D13:BJ13)*LoanSalePercent)</f>
        <v>0</v>
      </c>
      <c r="BK14" s="225">
        <f>IF(BK6-101&lt;&gt;LoanSaleHeld,0,SUM($D13:BK13)*LoanSalePercent)</f>
        <v>0</v>
      </c>
    </row>
    <row r="15" spans="1:63" ht="7.8" x14ac:dyDescent="0.15">
      <c r="A15" s="204">
        <f>A6+1</f>
        <v>2</v>
      </c>
      <c r="B15" s="192"/>
      <c r="C15" s="192"/>
      <c r="D15" s="192"/>
      <c r="E15" s="195">
        <v>101</v>
      </c>
      <c r="F15" s="196">
        <f t="shared" ref="F15" si="192">IF(F16=0,0,E15+1)</f>
        <v>102</v>
      </c>
      <c r="G15" s="196">
        <f t="shared" ref="G15" si="193">IF(G16=0,0,F15+1)</f>
        <v>103</v>
      </c>
      <c r="H15" s="196">
        <f t="shared" ref="H15" si="194">IF(H16=0,0,G15+1)</f>
        <v>104</v>
      </c>
      <c r="I15" s="196">
        <f t="shared" ref="I15" si="195">IF(I16=0,0,H15+1)</f>
        <v>105</v>
      </c>
      <c r="J15" s="196">
        <f t="shared" ref="J15" si="196">IF(J16=0,0,I15+1)</f>
        <v>106</v>
      </c>
      <c r="K15" s="196">
        <f t="shared" ref="K15" si="197">IF(K16=0,0,J15+1)</f>
        <v>107</v>
      </c>
      <c r="L15" s="196">
        <f t="shared" ref="L15" si="198">IF(L16=0,0,K15+1)</f>
        <v>108</v>
      </c>
      <c r="M15" s="196">
        <f t="shared" ref="M15" si="199">IF(M16=0,0,L15+1)</f>
        <v>109</v>
      </c>
      <c r="N15" s="196">
        <f t="shared" ref="N15" si="200">IF(N16=0,0,M15+1)</f>
        <v>110</v>
      </c>
      <c r="O15" s="196">
        <f t="shared" ref="O15" si="201">IF(O16=0,0,N15+1)</f>
        <v>111</v>
      </c>
      <c r="P15" s="196">
        <f t="shared" ref="P15" si="202">IF(P16=0,0,O15+1)</f>
        <v>112</v>
      </c>
      <c r="Q15" s="196">
        <f t="shared" ref="Q15" si="203">IF(Q16=0,0,P15+1)</f>
        <v>113</v>
      </c>
      <c r="R15" s="196">
        <f t="shared" ref="R15" si="204">IF(R16=0,0,Q15+1)</f>
        <v>114</v>
      </c>
      <c r="S15" s="196">
        <f t="shared" ref="S15" si="205">IF(S16=0,0,R15+1)</f>
        <v>115</v>
      </c>
      <c r="T15" s="196">
        <f t="shared" ref="T15" si="206">IF(T16=0,0,S15+1)</f>
        <v>116</v>
      </c>
      <c r="U15" s="196">
        <f t="shared" ref="U15" si="207">IF(U16=0,0,T15+1)</f>
        <v>117</v>
      </c>
      <c r="V15" s="196">
        <f t="shared" ref="V15" si="208">IF(V16=0,0,U15+1)</f>
        <v>118</v>
      </c>
      <c r="W15" s="196">
        <f t="shared" ref="W15" si="209">IF(W16=0,0,V15+1)</f>
        <v>119</v>
      </c>
      <c r="X15" s="196">
        <f t="shared" ref="X15" si="210">IF(X16=0,0,W15+1)</f>
        <v>0</v>
      </c>
      <c r="Y15" s="196">
        <f t="shared" ref="Y15" si="211">IF(Y16=0,0,X15+1)</f>
        <v>0</v>
      </c>
      <c r="Z15" s="196">
        <f t="shared" ref="Z15" si="212">IF(Z16=0,0,Y15+1)</f>
        <v>0</v>
      </c>
      <c r="AA15" s="196">
        <f t="shared" ref="AA15" si="213">IF(AA16=0,0,Z15+1)</f>
        <v>0</v>
      </c>
      <c r="AB15" s="196">
        <f t="shared" ref="AB15" si="214">IF(AB16=0,0,AA15+1)</f>
        <v>0</v>
      </c>
      <c r="AC15" s="196">
        <f t="shared" ref="AC15" si="215">IF(AC16=0,0,AB15+1)</f>
        <v>0</v>
      </c>
      <c r="AD15" s="196">
        <f t="shared" ref="AD15" si="216">IF(AD16=0,0,AC15+1)</f>
        <v>0</v>
      </c>
      <c r="AE15" s="196">
        <f t="shared" ref="AE15" si="217">IF(AE16=0,0,AD15+1)</f>
        <v>0</v>
      </c>
      <c r="AF15" s="196">
        <f t="shared" ref="AF15" si="218">IF(AF16=0,0,AE15+1)</f>
        <v>0</v>
      </c>
      <c r="AG15" s="196">
        <f t="shared" ref="AG15" si="219">IF(AG16=0,0,AF15+1)</f>
        <v>0</v>
      </c>
      <c r="AH15" s="196">
        <f t="shared" ref="AH15" si="220">IF(AH16=0,0,AG15+1)</f>
        <v>0</v>
      </c>
      <c r="AI15" s="196">
        <f t="shared" ref="AI15" si="221">IF(AI16=0,0,AH15+1)</f>
        <v>0</v>
      </c>
      <c r="AJ15" s="196">
        <f t="shared" ref="AJ15" si="222">IF(AJ16=0,0,AI15+1)</f>
        <v>0</v>
      </c>
      <c r="AK15" s="196">
        <f t="shared" ref="AK15" si="223">IF(AK16=0,0,AJ15+1)</f>
        <v>0</v>
      </c>
      <c r="AL15" s="196">
        <f t="shared" ref="AL15" si="224">IF(AL16=0,0,AK15+1)</f>
        <v>0</v>
      </c>
      <c r="AM15" s="196">
        <f t="shared" ref="AM15" si="225">IF(AM16=0,0,AL15+1)</f>
        <v>0</v>
      </c>
      <c r="AN15" s="196">
        <f t="shared" ref="AN15" si="226">IF(AN16=0,0,AM15+1)</f>
        <v>0</v>
      </c>
      <c r="AO15" s="196">
        <f t="shared" ref="AO15" si="227">IF(AO16=0,0,AN15+1)</f>
        <v>0</v>
      </c>
      <c r="AP15" s="196">
        <f t="shared" ref="AP15" si="228">IF(AP16=0,0,AO15+1)</f>
        <v>0</v>
      </c>
      <c r="AQ15" s="196">
        <f t="shared" ref="AQ15" si="229">IF(AQ16=0,0,AP15+1)</f>
        <v>0</v>
      </c>
      <c r="AR15" s="196">
        <f t="shared" ref="AR15" si="230">IF(AR16=0,0,AQ15+1)</f>
        <v>0</v>
      </c>
      <c r="AS15" s="196">
        <f t="shared" ref="AS15" si="231">IF(AS16=0,0,AR15+1)</f>
        <v>0</v>
      </c>
      <c r="AT15" s="196">
        <f t="shared" ref="AT15" si="232">IF(AT16=0,0,AS15+1)</f>
        <v>0</v>
      </c>
      <c r="AU15" s="196">
        <f t="shared" ref="AU15" si="233">IF(AU16=0,0,AT15+1)</f>
        <v>0</v>
      </c>
      <c r="AV15" s="196">
        <f t="shared" ref="AV15" si="234">IF(AV16=0,0,AU15+1)</f>
        <v>0</v>
      </c>
      <c r="AW15" s="196">
        <f t="shared" ref="AW15" si="235">IF(AW16=0,0,AV15+1)</f>
        <v>0</v>
      </c>
      <c r="AX15" s="196">
        <f t="shared" ref="AX15" si="236">IF(AX16=0,0,AW15+1)</f>
        <v>0</v>
      </c>
      <c r="AY15" s="196">
        <f t="shared" ref="AY15" si="237">IF(AY16=0,0,AX15+1)</f>
        <v>0</v>
      </c>
      <c r="AZ15" s="196">
        <f t="shared" ref="AZ15" si="238">IF(AZ16=0,0,AY15+1)</f>
        <v>0</v>
      </c>
      <c r="BA15" s="196">
        <f t="shared" ref="BA15" si="239">IF(BA16=0,0,AZ15+1)</f>
        <v>0</v>
      </c>
      <c r="BB15" s="196">
        <f t="shared" ref="BB15" si="240">IF(BB16=0,0,BA15+1)</f>
        <v>0</v>
      </c>
      <c r="BC15" s="196">
        <f t="shared" ref="BC15" si="241">IF(BC16=0,0,BB15+1)</f>
        <v>0</v>
      </c>
      <c r="BD15" s="196">
        <f t="shared" ref="BD15" si="242">IF(BD16=0,0,BC15+1)</f>
        <v>0</v>
      </c>
      <c r="BE15" s="196">
        <f t="shared" ref="BE15" si="243">IF(BE16=0,0,BD15+1)</f>
        <v>0</v>
      </c>
      <c r="BF15" s="196">
        <f t="shared" ref="BF15" si="244">IF(BF16=0,0,BE15+1)</f>
        <v>0</v>
      </c>
      <c r="BG15" s="196">
        <f t="shared" ref="BG15" si="245">IF(BG16=0,0,BF15+1)</f>
        <v>0</v>
      </c>
      <c r="BH15" s="196">
        <f t="shared" ref="BH15" si="246">IF(BH16=0,0,BG15+1)</f>
        <v>0</v>
      </c>
      <c r="BI15" s="196">
        <f t="shared" ref="BI15" si="247">IF(BI16=0,0,BH15+1)</f>
        <v>0</v>
      </c>
      <c r="BJ15" s="196">
        <f t="shared" ref="BJ15" si="248">IF(BJ16=0,0,BI15+1)</f>
        <v>0</v>
      </c>
      <c r="BK15" s="196">
        <f t="shared" ref="BK15" si="249">IF(BK16=0,0,BJ15+1)</f>
        <v>0</v>
      </c>
    </row>
    <row r="16" spans="1:63" ht="7.8" x14ac:dyDescent="0.15">
      <c r="A16" s="216" t="s">
        <v>178</v>
      </c>
      <c r="B16" s="192"/>
      <c r="C16" s="192"/>
      <c r="D16" s="192"/>
      <c r="E16" s="217">
        <f>LoanSize</f>
        <v>25</v>
      </c>
      <c r="F16" s="215">
        <f>IF(E16-E19&lt;=0.1,0,E16-E19)</f>
        <v>23.811105455869676</v>
      </c>
      <c r="G16" s="215">
        <f t="shared" ref="G16:BK16" si="250">IF(F16-F19&lt;=0.1,0,F16-F19)</f>
        <v>22.602891375397235</v>
      </c>
      <c r="H16" s="215">
        <f t="shared" si="250"/>
        <v>21.375043816117113</v>
      </c>
      <c r="I16" s="215">
        <f t="shared" si="250"/>
        <v>20.127243733998689</v>
      </c>
      <c r="J16" s="215">
        <f t="shared" si="250"/>
        <v>18.859166900545844</v>
      </c>
      <c r="K16" s="215">
        <f t="shared" si="250"/>
        <v>17.570483818549388</v>
      </c>
      <c r="L16" s="215">
        <f t="shared" si="250"/>
        <v>16.260859636470489</v>
      </c>
      <c r="M16" s="215">
        <f t="shared" si="250"/>
        <v>14.929954061432809</v>
      </c>
      <c r="N16" s="215">
        <f t="shared" si="250"/>
        <v>13.577421270800768</v>
      </c>
      <c r="O16" s="215">
        <f t="shared" si="250"/>
        <v>12.202909822320954</v>
      </c>
      <c r="P16" s="215">
        <f t="shared" si="250"/>
        <v>10.806062562803344</v>
      </c>
      <c r="Q16" s="215">
        <f t="shared" si="250"/>
        <v>9.3865165353185738</v>
      </c>
      <c r="R16" s="215">
        <f t="shared" si="250"/>
        <v>7.9439028848871756</v>
      </c>
      <c r="S16" s="215">
        <f t="shared" si="250"/>
        <v>6.4778467626362666</v>
      </c>
      <c r="T16" s="215">
        <f t="shared" si="250"/>
        <v>4.987967228398781</v>
      </c>
      <c r="U16" s="215">
        <f t="shared" si="250"/>
        <v>3.4738771517299361</v>
      </c>
      <c r="V16" s="215">
        <f t="shared" si="250"/>
        <v>1.9351831113152225</v>
      </c>
      <c r="W16" s="215">
        <f t="shared" si="250"/>
        <v>0.37148529274376973</v>
      </c>
      <c r="X16" s="215">
        <f t="shared" si="250"/>
        <v>0</v>
      </c>
      <c r="Y16" s="215">
        <f t="shared" si="250"/>
        <v>0</v>
      </c>
      <c r="Z16" s="215">
        <f t="shared" si="250"/>
        <v>0</v>
      </c>
      <c r="AA16" s="215">
        <f t="shared" si="250"/>
        <v>0</v>
      </c>
      <c r="AB16" s="215">
        <f t="shared" si="250"/>
        <v>0</v>
      </c>
      <c r="AC16" s="215">
        <f t="shared" si="250"/>
        <v>0</v>
      </c>
      <c r="AD16" s="215">
        <f t="shared" si="250"/>
        <v>0</v>
      </c>
      <c r="AE16" s="215">
        <f t="shared" si="250"/>
        <v>0</v>
      </c>
      <c r="AF16" s="215">
        <f t="shared" si="250"/>
        <v>0</v>
      </c>
      <c r="AG16" s="215">
        <f t="shared" si="250"/>
        <v>0</v>
      </c>
      <c r="AH16" s="215">
        <f t="shared" si="250"/>
        <v>0</v>
      </c>
      <c r="AI16" s="215">
        <f t="shared" si="250"/>
        <v>0</v>
      </c>
      <c r="AJ16" s="215">
        <f t="shared" si="250"/>
        <v>0</v>
      </c>
      <c r="AK16" s="215">
        <f t="shared" si="250"/>
        <v>0</v>
      </c>
      <c r="AL16" s="215">
        <f t="shared" si="250"/>
        <v>0</v>
      </c>
      <c r="AM16" s="215">
        <f t="shared" si="250"/>
        <v>0</v>
      </c>
      <c r="AN16" s="215">
        <f t="shared" si="250"/>
        <v>0</v>
      </c>
      <c r="AO16" s="215">
        <f t="shared" si="250"/>
        <v>0</v>
      </c>
      <c r="AP16" s="215">
        <f t="shared" si="250"/>
        <v>0</v>
      </c>
      <c r="AQ16" s="215">
        <f t="shared" si="250"/>
        <v>0</v>
      </c>
      <c r="AR16" s="215">
        <f t="shared" si="250"/>
        <v>0</v>
      </c>
      <c r="AS16" s="215">
        <f t="shared" si="250"/>
        <v>0</v>
      </c>
      <c r="AT16" s="215">
        <f t="shared" si="250"/>
        <v>0</v>
      </c>
      <c r="AU16" s="215">
        <f t="shared" si="250"/>
        <v>0</v>
      </c>
      <c r="AV16" s="215">
        <f t="shared" si="250"/>
        <v>0</v>
      </c>
      <c r="AW16" s="215">
        <f t="shared" si="250"/>
        <v>0</v>
      </c>
      <c r="AX16" s="215">
        <f t="shared" si="250"/>
        <v>0</v>
      </c>
      <c r="AY16" s="215">
        <f t="shared" si="250"/>
        <v>0</v>
      </c>
      <c r="AZ16" s="215">
        <f t="shared" si="250"/>
        <v>0</v>
      </c>
      <c r="BA16" s="215">
        <f t="shared" si="250"/>
        <v>0</v>
      </c>
      <c r="BB16" s="215">
        <f t="shared" si="250"/>
        <v>0</v>
      </c>
      <c r="BC16" s="215">
        <f t="shared" si="250"/>
        <v>0</v>
      </c>
      <c r="BD16" s="215">
        <f t="shared" si="250"/>
        <v>0</v>
      </c>
      <c r="BE16" s="215">
        <f t="shared" si="250"/>
        <v>0</v>
      </c>
      <c r="BF16" s="215">
        <f t="shared" si="250"/>
        <v>0</v>
      </c>
      <c r="BG16" s="215">
        <f t="shared" si="250"/>
        <v>0</v>
      </c>
      <c r="BH16" s="215">
        <f t="shared" si="250"/>
        <v>0</v>
      </c>
      <c r="BI16" s="215">
        <f t="shared" si="250"/>
        <v>0</v>
      </c>
      <c r="BJ16" s="215">
        <f t="shared" si="250"/>
        <v>0</v>
      </c>
      <c r="BK16" s="215">
        <f t="shared" si="250"/>
        <v>0</v>
      </c>
    </row>
    <row r="17" spans="1:63" ht="7.8" x14ac:dyDescent="0.15">
      <c r="A17" s="218" t="s">
        <v>179</v>
      </c>
      <c r="B17" s="192"/>
      <c r="C17" s="192"/>
      <c r="D17" s="192"/>
      <c r="E17" s="219">
        <f>IF(E16=0,0,PMT(INDEX(LoanCohortRate,1),LoanTerm, -LoanSize))</f>
        <v>1.5951445441303251</v>
      </c>
      <c r="F17" s="222">
        <f t="shared" ref="F17" si="251">IF(F16=0,0, E17)</f>
        <v>1.5951445441303251</v>
      </c>
      <c r="G17" s="222">
        <f t="shared" ref="G17" si="252">IF(G16=0,0, F17)</f>
        <v>1.5951445441303251</v>
      </c>
      <c r="H17" s="222">
        <f t="shared" ref="H17" si="253">IF(H16=0,0, G17)</f>
        <v>1.5951445441303251</v>
      </c>
      <c r="I17" s="222">
        <f t="shared" ref="I17" si="254">IF(I16=0,0, H17)</f>
        <v>1.5951445441303251</v>
      </c>
      <c r="J17" s="222">
        <f t="shared" ref="J17" si="255">IF(J16=0,0, I17)</f>
        <v>1.5951445441303251</v>
      </c>
      <c r="K17" s="222">
        <f t="shared" ref="K17" si="256">IF(K16=0,0, J17)</f>
        <v>1.5951445441303251</v>
      </c>
      <c r="L17" s="222">
        <f t="shared" ref="L17" si="257">IF(L16=0,0, K17)</f>
        <v>1.5951445441303251</v>
      </c>
      <c r="M17" s="222">
        <f t="shared" ref="M17" si="258">IF(M16=0,0, L17)</f>
        <v>1.5951445441303251</v>
      </c>
      <c r="N17" s="222">
        <f t="shared" ref="N17" si="259">IF(N16=0,0, M17)</f>
        <v>1.5951445441303251</v>
      </c>
      <c r="O17" s="222">
        <f t="shared" ref="O17" si="260">IF(O16=0,0, N17)</f>
        <v>1.5951445441303251</v>
      </c>
      <c r="P17" s="222">
        <f t="shared" ref="P17" si="261">IF(P16=0,0, O17)</f>
        <v>1.5951445441303251</v>
      </c>
      <c r="Q17" s="222">
        <f t="shared" ref="Q17" si="262">IF(Q16=0,0, P17)</f>
        <v>1.5951445441303251</v>
      </c>
      <c r="R17" s="222">
        <f t="shared" ref="R17" si="263">IF(R16=0,0, Q17)</f>
        <v>1.5951445441303251</v>
      </c>
      <c r="S17" s="222">
        <f t="shared" ref="S17" si="264">IF(S16=0,0, R17)</f>
        <v>1.5951445441303251</v>
      </c>
      <c r="T17" s="222">
        <f t="shared" ref="T17" si="265">IF(T16=0,0, S17)</f>
        <v>1.5951445441303251</v>
      </c>
      <c r="U17" s="222">
        <f t="shared" ref="U17" si="266">IF(U16=0,0, T17)</f>
        <v>1.5951445441303251</v>
      </c>
      <c r="V17" s="222">
        <f t="shared" ref="V17" si="267">IF(V16=0,0, U17)</f>
        <v>1.5951445441303251</v>
      </c>
      <c r="W17" s="222">
        <f t="shared" ref="W17" si="268">IF(W16=0,0, V17)</f>
        <v>1.5951445441303251</v>
      </c>
      <c r="X17" s="222">
        <f t="shared" ref="X17" si="269">IF(X16=0,0, W17)</f>
        <v>0</v>
      </c>
      <c r="Y17" s="222">
        <f t="shared" ref="Y17" si="270">IF(Y16=0,0, X17)</f>
        <v>0</v>
      </c>
      <c r="Z17" s="222">
        <f t="shared" ref="Z17" si="271">IF(Z16=0,0, Y17)</f>
        <v>0</v>
      </c>
      <c r="AA17" s="222">
        <f t="shared" ref="AA17" si="272">IF(AA16=0,0, Z17)</f>
        <v>0</v>
      </c>
      <c r="AB17" s="222">
        <f t="shared" ref="AB17" si="273">IF(AB16=0,0, AA17)</f>
        <v>0</v>
      </c>
      <c r="AC17" s="222">
        <f t="shared" ref="AC17" si="274">IF(AC16=0,0, AB17)</f>
        <v>0</v>
      </c>
      <c r="AD17" s="222">
        <f t="shared" ref="AD17" si="275">IF(AD16=0,0, AC17)</f>
        <v>0</v>
      </c>
      <c r="AE17" s="222">
        <f t="shared" ref="AE17" si="276">IF(AE16=0,0, AD17)</f>
        <v>0</v>
      </c>
      <c r="AF17" s="222">
        <f t="shared" ref="AF17" si="277">IF(AF16=0,0, AE17)</f>
        <v>0</v>
      </c>
      <c r="AG17" s="222">
        <f t="shared" ref="AG17" si="278">IF(AG16=0,0, AF17)</f>
        <v>0</v>
      </c>
      <c r="AH17" s="222">
        <f t="shared" ref="AH17" si="279">IF(AH16=0,0, AG17)</f>
        <v>0</v>
      </c>
      <c r="AI17" s="222">
        <f t="shared" ref="AI17" si="280">IF(AI16=0,0, AH17)</f>
        <v>0</v>
      </c>
      <c r="AJ17" s="222">
        <f t="shared" ref="AJ17" si="281">IF(AJ16=0,0, AI17)</f>
        <v>0</v>
      </c>
      <c r="AK17" s="222">
        <f t="shared" ref="AK17" si="282">IF(AK16=0,0, AJ17)</f>
        <v>0</v>
      </c>
      <c r="AL17" s="222">
        <f t="shared" ref="AL17" si="283">IF(AL16=0,0, AK17)</f>
        <v>0</v>
      </c>
      <c r="AM17" s="222">
        <f t="shared" ref="AM17" si="284">IF(AM16=0,0, AL17)</f>
        <v>0</v>
      </c>
      <c r="AN17" s="222">
        <f t="shared" ref="AN17" si="285">IF(AN16=0,0, AM17)</f>
        <v>0</v>
      </c>
      <c r="AO17" s="222">
        <f t="shared" ref="AO17" si="286">IF(AO16=0,0, AN17)</f>
        <v>0</v>
      </c>
      <c r="AP17" s="222">
        <f t="shared" ref="AP17" si="287">IF(AP16=0,0, AO17)</f>
        <v>0</v>
      </c>
      <c r="AQ17" s="222">
        <f t="shared" ref="AQ17" si="288">IF(AQ16=0,0, AP17)</f>
        <v>0</v>
      </c>
      <c r="AR17" s="222">
        <f t="shared" ref="AR17" si="289">IF(AR16=0,0, AQ17)</f>
        <v>0</v>
      </c>
      <c r="AS17" s="222">
        <f t="shared" ref="AS17" si="290">IF(AS16=0,0, AR17)</f>
        <v>0</v>
      </c>
      <c r="AT17" s="222">
        <f t="shared" ref="AT17" si="291">IF(AT16=0,0, AS17)</f>
        <v>0</v>
      </c>
      <c r="AU17" s="222">
        <f t="shared" ref="AU17" si="292">IF(AU16=0,0, AT17)</f>
        <v>0</v>
      </c>
      <c r="AV17" s="222">
        <f t="shared" ref="AV17" si="293">IF(AV16=0,0, AU17)</f>
        <v>0</v>
      </c>
      <c r="AW17" s="222">
        <f t="shared" ref="AW17" si="294">IF(AW16=0,0, AV17)</f>
        <v>0</v>
      </c>
      <c r="AX17" s="222">
        <f t="shared" ref="AX17" si="295">IF(AX16=0,0, AW17)</f>
        <v>0</v>
      </c>
      <c r="AY17" s="222">
        <f t="shared" ref="AY17" si="296">IF(AY16=0,0, AX17)</f>
        <v>0</v>
      </c>
      <c r="AZ17" s="222">
        <f t="shared" ref="AZ17" si="297">IF(AZ16=0,0, AY17)</f>
        <v>0</v>
      </c>
      <c r="BA17" s="222">
        <f t="shared" ref="BA17" si="298">IF(BA16=0,0, AZ17)</f>
        <v>0</v>
      </c>
      <c r="BB17" s="222">
        <f t="shared" ref="BB17" si="299">IF(BB16=0,0, BA17)</f>
        <v>0</v>
      </c>
      <c r="BC17" s="222">
        <f t="shared" ref="BC17" si="300">IF(BC16=0,0, BB17)</f>
        <v>0</v>
      </c>
      <c r="BD17" s="222">
        <f t="shared" ref="BD17" si="301">IF(BD16=0,0, BC17)</f>
        <v>0</v>
      </c>
      <c r="BE17" s="222">
        <f t="shared" ref="BE17" si="302">IF(BE16=0,0, BD17)</f>
        <v>0</v>
      </c>
      <c r="BF17" s="222">
        <f t="shared" ref="BF17" si="303">IF(BF16=0,0, BE17)</f>
        <v>0</v>
      </c>
      <c r="BG17" s="222">
        <f t="shared" ref="BG17" si="304">IF(BG16=0,0, BF17)</f>
        <v>0</v>
      </c>
      <c r="BH17" s="222">
        <f t="shared" ref="BH17" si="305">IF(BH16=0,0, BG17)</f>
        <v>0</v>
      </c>
      <c r="BI17" s="222">
        <f t="shared" ref="BI17" si="306">IF(BI16=0,0, BH17)</f>
        <v>0</v>
      </c>
      <c r="BJ17" s="222">
        <f t="shared" ref="BJ17" si="307">IF(BJ16=0,0, BI17)</f>
        <v>0</v>
      </c>
      <c r="BK17" s="222">
        <f t="shared" ref="BK17" si="308">IF(BK16=0,0, BJ17)</f>
        <v>0</v>
      </c>
    </row>
    <row r="18" spans="1:63" ht="7.8" x14ac:dyDescent="0.15">
      <c r="A18" s="218" t="s">
        <v>180</v>
      </c>
      <c r="B18" s="192"/>
      <c r="C18" s="192"/>
      <c r="D18" s="249"/>
      <c r="E18" s="220" cm="1">
        <f t="array" ref="E18">E16*INDEX(LoanCohortRate,$A15)</f>
        <v>0.40625</v>
      </c>
      <c r="F18" s="221" cm="1">
        <f t="array" ref="F18">F16*INDEX(LoanCohortRate,$A15)</f>
        <v>0.38693046365788225</v>
      </c>
      <c r="G18" s="221" cm="1">
        <f t="array" ref="G18">G16*INDEX(LoanCohortRate,$A15)</f>
        <v>0.36729698485020507</v>
      </c>
      <c r="H18" s="221" cm="1">
        <f t="array" ref="H18">H16*INDEX(LoanCohortRate,$A15)</f>
        <v>0.34734446201190311</v>
      </c>
      <c r="I18" s="221" cm="1">
        <f t="array" ref="I18">I16*INDEX(LoanCohortRate,$A15)</f>
        <v>0.3270677106774787</v>
      </c>
      <c r="J18" s="221" cm="1">
        <f t="array" ref="J18">J16*INDEX(LoanCohortRate,$A15)</f>
        <v>0.30646146213386999</v>
      </c>
      <c r="K18" s="221" cm="1">
        <f t="array" ref="K18">K16*INDEX(LoanCohortRate,$A15)</f>
        <v>0.28552036205142756</v>
      </c>
      <c r="L18" s="221" cm="1">
        <f t="array" ref="L18">L16*INDEX(LoanCohortRate,$A15)</f>
        <v>0.26423896909264544</v>
      </c>
      <c r="M18" s="221" cm="1">
        <f t="array" ref="M18">M16*INDEX(LoanCohortRate,$A15)</f>
        <v>0.24261175349828315</v>
      </c>
      <c r="N18" s="221" cm="1">
        <f t="array" ref="N18">N16*INDEX(LoanCohortRate,$A15)</f>
        <v>0.22063309565051248</v>
      </c>
      <c r="O18" s="221" cm="1">
        <f t="array" ref="O18">O16*INDEX(LoanCohortRate,$A15)</f>
        <v>0.19829728461271551</v>
      </c>
      <c r="P18" s="221" cm="1">
        <f t="array" ref="P18">P16*INDEX(LoanCohortRate,$A15)</f>
        <v>0.17559851664555434</v>
      </c>
      <c r="Q18" s="221" cm="1">
        <f t="array" ref="Q18">Q16*INDEX(LoanCohortRate,$A15)</f>
        <v>0.15253089369892683</v>
      </c>
      <c r="R18" s="221" cm="1">
        <f t="array" ref="R18">R16*INDEX(LoanCohortRate,$A15)</f>
        <v>0.1290884218794166</v>
      </c>
      <c r="S18" s="221" cm="1">
        <f t="array" ref="S18">S16*INDEX(LoanCohortRate,$A15)</f>
        <v>0.10526500989283934</v>
      </c>
      <c r="T18" s="221" cm="1">
        <f t="array" ref="T18">T16*INDEX(LoanCohortRate,$A15)</f>
        <v>8.1054467461480192E-2</v>
      </c>
      <c r="U18" s="221" cm="1">
        <f t="array" ref="U18">U16*INDEX(LoanCohortRate,$A15)</f>
        <v>5.6450503715611465E-2</v>
      </c>
      <c r="V18" s="221" cm="1">
        <f t="array" ref="V18">V16*INDEX(LoanCohortRate,$A15)</f>
        <v>3.1446725558872367E-2</v>
      </c>
      <c r="W18" s="221" cm="1">
        <f t="array" ref="W18">W16*INDEX(LoanCohortRate,$A15)</f>
        <v>6.0366360070862584E-3</v>
      </c>
      <c r="X18" s="221" cm="1">
        <f t="array" ref="X18">X16*INDEX(LoanCohortRate,$A15)</f>
        <v>0</v>
      </c>
      <c r="Y18" s="221" cm="1">
        <f t="array" ref="Y18">Y16*INDEX(LoanCohortRate,$A15)</f>
        <v>0</v>
      </c>
      <c r="Z18" s="221" cm="1">
        <f t="array" ref="Z18">Z16*INDEX(LoanCohortRate,$A15)</f>
        <v>0</v>
      </c>
      <c r="AA18" s="221" cm="1">
        <f t="array" ref="AA18">AA16*INDEX(LoanCohortRate,$A15)</f>
        <v>0</v>
      </c>
      <c r="AB18" s="221" cm="1">
        <f t="array" ref="AB18">AB16*INDEX(LoanCohortRate,$A15)</f>
        <v>0</v>
      </c>
      <c r="AC18" s="221" cm="1">
        <f t="array" ref="AC18">AC16*INDEX(LoanCohortRate,$A15)</f>
        <v>0</v>
      </c>
      <c r="AD18" s="221" cm="1">
        <f t="array" ref="AD18">AD16*INDEX(LoanCohortRate,$A15)</f>
        <v>0</v>
      </c>
      <c r="AE18" s="221" cm="1">
        <f t="array" ref="AE18">AE16*INDEX(LoanCohortRate,$A15)</f>
        <v>0</v>
      </c>
      <c r="AF18" s="221" cm="1">
        <f t="array" ref="AF18">AF16*INDEX(LoanCohortRate,$A15)</f>
        <v>0</v>
      </c>
      <c r="AG18" s="221" cm="1">
        <f t="array" ref="AG18">AG16*INDEX(LoanCohortRate,$A15)</f>
        <v>0</v>
      </c>
      <c r="AH18" s="221" cm="1">
        <f t="array" ref="AH18">AH16*INDEX(LoanCohortRate,$A15)</f>
        <v>0</v>
      </c>
      <c r="AI18" s="221" cm="1">
        <f t="array" ref="AI18">AI16*INDEX(LoanCohortRate,$A15)</f>
        <v>0</v>
      </c>
      <c r="AJ18" s="221" cm="1">
        <f t="array" ref="AJ18">AJ16*INDEX(LoanCohortRate,$A15)</f>
        <v>0</v>
      </c>
      <c r="AK18" s="221" cm="1">
        <f t="array" ref="AK18">AK16*INDEX(LoanCohortRate,$A15)</f>
        <v>0</v>
      </c>
      <c r="AL18" s="221" cm="1">
        <f t="array" ref="AL18">AL16*INDEX(LoanCohortRate,$A15)</f>
        <v>0</v>
      </c>
      <c r="AM18" s="221" cm="1">
        <f t="array" ref="AM18">AM16*INDEX(LoanCohortRate,$A15)</f>
        <v>0</v>
      </c>
      <c r="AN18" s="221" cm="1">
        <f t="array" ref="AN18">AN16*INDEX(LoanCohortRate,$A15)</f>
        <v>0</v>
      </c>
      <c r="AO18" s="221" cm="1">
        <f t="array" ref="AO18">AO16*INDEX(LoanCohortRate,$A15)</f>
        <v>0</v>
      </c>
      <c r="AP18" s="221" cm="1">
        <f t="array" ref="AP18">AP16*INDEX(LoanCohortRate,$A15)</f>
        <v>0</v>
      </c>
      <c r="AQ18" s="221" cm="1">
        <f t="array" ref="AQ18">AQ16*INDEX(LoanCohortRate,$A15)</f>
        <v>0</v>
      </c>
      <c r="AR18" s="221" cm="1">
        <f t="array" ref="AR18">AR16*INDEX(LoanCohortRate,$A15)</f>
        <v>0</v>
      </c>
      <c r="AS18" s="221" cm="1">
        <f t="array" ref="AS18">AS16*INDEX(LoanCohortRate,$A15)</f>
        <v>0</v>
      </c>
      <c r="AT18" s="221" cm="1">
        <f t="array" ref="AT18">AT16*INDEX(LoanCohortRate,$A15)</f>
        <v>0</v>
      </c>
      <c r="AU18" s="221" cm="1">
        <f t="array" ref="AU18">AU16*INDEX(LoanCohortRate,$A15)</f>
        <v>0</v>
      </c>
      <c r="AV18" s="221" cm="1">
        <f t="array" ref="AV18">AV16*INDEX(LoanCohortRate,$A15)</f>
        <v>0</v>
      </c>
      <c r="AW18" s="221" cm="1">
        <f t="array" ref="AW18">AW16*INDEX(LoanCohortRate,$A15)</f>
        <v>0</v>
      </c>
      <c r="AX18" s="221" cm="1">
        <f t="array" ref="AX18">AX16*INDEX(LoanCohortRate,$A15)</f>
        <v>0</v>
      </c>
      <c r="AY18" s="221" cm="1">
        <f t="array" ref="AY18">AY16*INDEX(LoanCohortRate,$A15)</f>
        <v>0</v>
      </c>
      <c r="AZ18" s="221" cm="1">
        <f t="array" ref="AZ18">AZ16*INDEX(LoanCohortRate,$A15)</f>
        <v>0</v>
      </c>
      <c r="BA18" s="221" cm="1">
        <f t="array" ref="BA18">BA16*INDEX(LoanCohortRate,$A15)</f>
        <v>0</v>
      </c>
      <c r="BB18" s="221" cm="1">
        <f t="array" ref="BB18">BB16*INDEX(LoanCohortRate,$A15)</f>
        <v>0</v>
      </c>
      <c r="BC18" s="221" cm="1">
        <f t="array" ref="BC18">BC16*INDEX(LoanCohortRate,$A15)</f>
        <v>0</v>
      </c>
      <c r="BD18" s="221" cm="1">
        <f t="array" ref="BD18">BD16*INDEX(LoanCohortRate,$A15)</f>
        <v>0</v>
      </c>
      <c r="BE18" s="221" cm="1">
        <f t="array" ref="BE18">BE16*INDEX(LoanCohortRate,$A15)</f>
        <v>0</v>
      </c>
      <c r="BF18" s="221" cm="1">
        <f t="array" ref="BF18">BF16*INDEX(LoanCohortRate,$A15)</f>
        <v>0</v>
      </c>
      <c r="BG18" s="221" cm="1">
        <f t="array" ref="BG18">BG16*INDEX(LoanCohortRate,$A15)</f>
        <v>0</v>
      </c>
      <c r="BH18" s="221" cm="1">
        <f t="array" ref="BH18">BH16*INDEX(LoanCohortRate,$A15)</f>
        <v>0</v>
      </c>
      <c r="BI18" s="221" cm="1">
        <f t="array" ref="BI18">BI16*INDEX(LoanCohortRate,$A15)</f>
        <v>0</v>
      </c>
      <c r="BJ18" s="221" cm="1">
        <f t="array" ref="BJ18">BJ16*INDEX(LoanCohortRate,$A15)</f>
        <v>0</v>
      </c>
      <c r="BK18" s="221" cm="1">
        <f t="array" ref="BK18">BK16*INDEX(LoanCohortRate,$A15)</f>
        <v>0</v>
      </c>
    </row>
    <row r="19" spans="1:63" ht="7.8" x14ac:dyDescent="0.15">
      <c r="A19" s="218" t="s">
        <v>177</v>
      </c>
      <c r="B19" s="192"/>
      <c r="C19" s="192"/>
      <c r="D19" s="248"/>
      <c r="E19" s="219">
        <f>E17-E18</f>
        <v>1.1888945441303251</v>
      </c>
      <c r="F19" s="222">
        <f t="shared" ref="F19:BK19" si="309">F17-F18</f>
        <v>1.2082140804724428</v>
      </c>
      <c r="G19" s="222">
        <f t="shared" si="309"/>
        <v>1.2278475592801201</v>
      </c>
      <c r="H19" s="222">
        <f t="shared" si="309"/>
        <v>1.2478000821184221</v>
      </c>
      <c r="I19" s="222">
        <f t="shared" si="309"/>
        <v>1.2680768334528465</v>
      </c>
      <c r="J19" s="222">
        <f t="shared" si="309"/>
        <v>1.2886830819964552</v>
      </c>
      <c r="K19" s="222">
        <f t="shared" si="309"/>
        <v>1.3096241820788976</v>
      </c>
      <c r="L19" s="222">
        <f t="shared" si="309"/>
        <v>1.3309055750376797</v>
      </c>
      <c r="M19" s="222">
        <f t="shared" si="309"/>
        <v>1.3525327906320419</v>
      </c>
      <c r="N19" s="222">
        <f t="shared" si="309"/>
        <v>1.3745114484798127</v>
      </c>
      <c r="O19" s="222">
        <f t="shared" si="309"/>
        <v>1.3968472595176096</v>
      </c>
      <c r="P19" s="222">
        <f t="shared" si="309"/>
        <v>1.4195460274847709</v>
      </c>
      <c r="Q19" s="222">
        <f t="shared" si="309"/>
        <v>1.4426136504313982</v>
      </c>
      <c r="R19" s="222">
        <f t="shared" si="309"/>
        <v>1.4660561222509085</v>
      </c>
      <c r="S19" s="222">
        <f t="shared" si="309"/>
        <v>1.4898795342374858</v>
      </c>
      <c r="T19" s="222">
        <f t="shared" si="309"/>
        <v>1.514090076668845</v>
      </c>
      <c r="U19" s="222">
        <f t="shared" si="309"/>
        <v>1.5386940404147136</v>
      </c>
      <c r="V19" s="222">
        <f t="shared" si="309"/>
        <v>1.5636978185714527</v>
      </c>
      <c r="W19" s="222">
        <f t="shared" si="309"/>
        <v>1.5891079081232389</v>
      </c>
      <c r="X19" s="222">
        <f t="shared" si="309"/>
        <v>0</v>
      </c>
      <c r="Y19" s="222">
        <f t="shared" si="309"/>
        <v>0</v>
      </c>
      <c r="Z19" s="222">
        <f t="shared" si="309"/>
        <v>0</v>
      </c>
      <c r="AA19" s="222">
        <f t="shared" si="309"/>
        <v>0</v>
      </c>
      <c r="AB19" s="222">
        <f t="shared" si="309"/>
        <v>0</v>
      </c>
      <c r="AC19" s="222">
        <f t="shared" si="309"/>
        <v>0</v>
      </c>
      <c r="AD19" s="222">
        <f t="shared" si="309"/>
        <v>0</v>
      </c>
      <c r="AE19" s="222">
        <f t="shared" si="309"/>
        <v>0</v>
      </c>
      <c r="AF19" s="222">
        <f t="shared" si="309"/>
        <v>0</v>
      </c>
      <c r="AG19" s="222">
        <f t="shared" si="309"/>
        <v>0</v>
      </c>
      <c r="AH19" s="222">
        <f t="shared" si="309"/>
        <v>0</v>
      </c>
      <c r="AI19" s="222">
        <f t="shared" si="309"/>
        <v>0</v>
      </c>
      <c r="AJ19" s="222">
        <f t="shared" si="309"/>
        <v>0</v>
      </c>
      <c r="AK19" s="222">
        <f t="shared" si="309"/>
        <v>0</v>
      </c>
      <c r="AL19" s="222">
        <f t="shared" si="309"/>
        <v>0</v>
      </c>
      <c r="AM19" s="222">
        <f t="shared" si="309"/>
        <v>0</v>
      </c>
      <c r="AN19" s="222">
        <f t="shared" si="309"/>
        <v>0</v>
      </c>
      <c r="AO19" s="222">
        <f t="shared" si="309"/>
        <v>0</v>
      </c>
      <c r="AP19" s="222">
        <f t="shared" si="309"/>
        <v>0</v>
      </c>
      <c r="AQ19" s="222">
        <f t="shared" si="309"/>
        <v>0</v>
      </c>
      <c r="AR19" s="222">
        <f t="shared" si="309"/>
        <v>0</v>
      </c>
      <c r="AS19" s="222">
        <f t="shared" si="309"/>
        <v>0</v>
      </c>
      <c r="AT19" s="222">
        <f t="shared" si="309"/>
        <v>0</v>
      </c>
      <c r="AU19" s="222">
        <f t="shared" si="309"/>
        <v>0</v>
      </c>
      <c r="AV19" s="222">
        <f t="shared" si="309"/>
        <v>0</v>
      </c>
      <c r="AW19" s="222">
        <f t="shared" si="309"/>
        <v>0</v>
      </c>
      <c r="AX19" s="222">
        <f t="shared" si="309"/>
        <v>0</v>
      </c>
      <c r="AY19" s="222">
        <f t="shared" si="309"/>
        <v>0</v>
      </c>
      <c r="AZ19" s="222">
        <f t="shared" si="309"/>
        <v>0</v>
      </c>
      <c r="BA19" s="222">
        <f t="shared" si="309"/>
        <v>0</v>
      </c>
      <c r="BB19" s="222">
        <f t="shared" si="309"/>
        <v>0</v>
      </c>
      <c r="BC19" s="222">
        <f t="shared" si="309"/>
        <v>0</v>
      </c>
      <c r="BD19" s="222">
        <f t="shared" si="309"/>
        <v>0</v>
      </c>
      <c r="BE19" s="222">
        <f t="shared" si="309"/>
        <v>0</v>
      </c>
      <c r="BF19" s="222">
        <f t="shared" si="309"/>
        <v>0</v>
      </c>
      <c r="BG19" s="222">
        <f t="shared" si="309"/>
        <v>0</v>
      </c>
      <c r="BH19" s="222">
        <f t="shared" si="309"/>
        <v>0</v>
      </c>
      <c r="BI19" s="222">
        <f t="shared" si="309"/>
        <v>0</v>
      </c>
      <c r="BJ19" s="222">
        <f t="shared" si="309"/>
        <v>0</v>
      </c>
      <c r="BK19" s="222">
        <f t="shared" si="309"/>
        <v>0</v>
      </c>
    </row>
    <row r="20" spans="1:63" ht="7.8" x14ac:dyDescent="0.15">
      <c r="A20" s="205" t="s">
        <v>7</v>
      </c>
      <c r="B20" s="192"/>
      <c r="C20" s="192"/>
      <c r="D20" s="192"/>
      <c r="E20" s="214" cm="1">
        <f t="array" ref="E20">INDEX(LoanOriginations,$A15)</f>
        <v>100.49999999999999</v>
      </c>
      <c r="F20" s="199">
        <f t="shared" ref="F20:AK20" si="310">E20*(1-MitigateDelinquency*MitigateChargeoff)  *  IF(F15=0,0,IF(F15-102=LoanSaleHeld,0.6,1))</f>
        <v>100.39949999999999</v>
      </c>
      <c r="G20" s="199">
        <f t="shared" si="310"/>
        <v>100.29910049999999</v>
      </c>
      <c r="H20" s="199">
        <f>G20*(1-MitigateDelinquency*MitigateChargeoff)  *  IF(H15=0,0,IF(H15-102=LoanSaleHeld,0.6,1))</f>
        <v>100.1988013995</v>
      </c>
      <c r="I20" s="199">
        <f t="shared" si="310"/>
        <v>60.059161558860296</v>
      </c>
      <c r="J20" s="199">
        <f t="shared" si="310"/>
        <v>59.999102397301435</v>
      </c>
      <c r="K20" s="199">
        <f t="shared" si="310"/>
        <v>59.939103294904136</v>
      </c>
      <c r="L20" s="199">
        <f t="shared" si="310"/>
        <v>59.879164191609235</v>
      </c>
      <c r="M20" s="199">
        <f t="shared" si="310"/>
        <v>59.819285027417628</v>
      </c>
      <c r="N20" s="199">
        <f t="shared" si="310"/>
        <v>59.759465742390212</v>
      </c>
      <c r="O20" s="199">
        <f t="shared" si="310"/>
        <v>59.699706276647824</v>
      </c>
      <c r="P20" s="199">
        <f t="shared" si="310"/>
        <v>59.640006570371177</v>
      </c>
      <c r="Q20" s="199">
        <f t="shared" si="310"/>
        <v>59.580366563800808</v>
      </c>
      <c r="R20" s="199">
        <f t="shared" si="310"/>
        <v>59.520786197237008</v>
      </c>
      <c r="S20" s="199">
        <f t="shared" si="310"/>
        <v>59.461265411039768</v>
      </c>
      <c r="T20" s="199">
        <f t="shared" si="310"/>
        <v>59.401804145628731</v>
      </c>
      <c r="U20" s="199">
        <f t="shared" si="310"/>
        <v>59.342402341483101</v>
      </c>
      <c r="V20" s="199">
        <f t="shared" si="310"/>
        <v>59.283059939141616</v>
      </c>
      <c r="W20" s="199">
        <f t="shared" si="310"/>
        <v>59.223776879202475</v>
      </c>
      <c r="X20" s="199">
        <f t="shared" si="310"/>
        <v>0</v>
      </c>
      <c r="Y20" s="199">
        <f t="shared" si="310"/>
        <v>0</v>
      </c>
      <c r="Z20" s="199">
        <f t="shared" si="310"/>
        <v>0</v>
      </c>
      <c r="AA20" s="199">
        <f t="shared" si="310"/>
        <v>0</v>
      </c>
      <c r="AB20" s="199">
        <f t="shared" si="310"/>
        <v>0</v>
      </c>
      <c r="AC20" s="199">
        <f t="shared" si="310"/>
        <v>0</v>
      </c>
      <c r="AD20" s="199">
        <f t="shared" si="310"/>
        <v>0</v>
      </c>
      <c r="AE20" s="199">
        <f t="shared" si="310"/>
        <v>0</v>
      </c>
      <c r="AF20" s="199">
        <f t="shared" si="310"/>
        <v>0</v>
      </c>
      <c r="AG20" s="199">
        <f t="shared" si="310"/>
        <v>0</v>
      </c>
      <c r="AH20" s="199">
        <f t="shared" si="310"/>
        <v>0</v>
      </c>
      <c r="AI20" s="199">
        <f t="shared" si="310"/>
        <v>0</v>
      </c>
      <c r="AJ20" s="199">
        <f t="shared" si="310"/>
        <v>0</v>
      </c>
      <c r="AK20" s="199">
        <f t="shared" si="310"/>
        <v>0</v>
      </c>
      <c r="AL20" s="199">
        <f t="shared" ref="AL20:BK20" si="311">AK20*(1-MitigateDelinquency*MitigateChargeoff)  *  IF(AL15=0,0,IF(AL15-102=LoanSaleHeld,0.6,1))</f>
        <v>0</v>
      </c>
      <c r="AM20" s="199">
        <f t="shared" si="311"/>
        <v>0</v>
      </c>
      <c r="AN20" s="199">
        <f t="shared" si="311"/>
        <v>0</v>
      </c>
      <c r="AO20" s="199">
        <f t="shared" si="311"/>
        <v>0</v>
      </c>
      <c r="AP20" s="199">
        <f t="shared" si="311"/>
        <v>0</v>
      </c>
      <c r="AQ20" s="199">
        <f t="shared" si="311"/>
        <v>0</v>
      </c>
      <c r="AR20" s="199">
        <f t="shared" si="311"/>
        <v>0</v>
      </c>
      <c r="AS20" s="199">
        <f t="shared" si="311"/>
        <v>0</v>
      </c>
      <c r="AT20" s="199">
        <f t="shared" si="311"/>
        <v>0</v>
      </c>
      <c r="AU20" s="199">
        <f t="shared" si="311"/>
        <v>0</v>
      </c>
      <c r="AV20" s="199">
        <f t="shared" si="311"/>
        <v>0</v>
      </c>
      <c r="AW20" s="199">
        <f t="shared" si="311"/>
        <v>0</v>
      </c>
      <c r="AX20" s="199">
        <f t="shared" si="311"/>
        <v>0</v>
      </c>
      <c r="AY20" s="199">
        <f t="shared" si="311"/>
        <v>0</v>
      </c>
      <c r="AZ20" s="199">
        <f t="shared" si="311"/>
        <v>0</v>
      </c>
      <c r="BA20" s="199">
        <f t="shared" si="311"/>
        <v>0</v>
      </c>
      <c r="BB20" s="199">
        <f t="shared" si="311"/>
        <v>0</v>
      </c>
      <c r="BC20" s="199">
        <f t="shared" si="311"/>
        <v>0</v>
      </c>
      <c r="BD20" s="199">
        <f t="shared" si="311"/>
        <v>0</v>
      </c>
      <c r="BE20" s="199">
        <f t="shared" si="311"/>
        <v>0</v>
      </c>
      <c r="BF20" s="199">
        <f t="shared" si="311"/>
        <v>0</v>
      </c>
      <c r="BG20" s="199">
        <f t="shared" si="311"/>
        <v>0</v>
      </c>
      <c r="BH20" s="199">
        <f t="shared" si="311"/>
        <v>0</v>
      </c>
      <c r="BI20" s="199">
        <f t="shared" si="311"/>
        <v>0</v>
      </c>
      <c r="BJ20" s="199">
        <f t="shared" si="311"/>
        <v>0</v>
      </c>
      <c r="BK20" s="199">
        <f t="shared" si="311"/>
        <v>0</v>
      </c>
    </row>
    <row r="21" spans="1:63" ht="7.8" x14ac:dyDescent="0.15">
      <c r="A21" s="207" t="s">
        <v>96</v>
      </c>
      <c r="B21" s="192"/>
      <c r="C21" s="192"/>
      <c r="D21" s="248"/>
      <c r="E21" s="223">
        <f>E18*E20</f>
        <v>40.828124999999993</v>
      </c>
      <c r="F21" s="200">
        <f t="shared" ref="F21" si="312">F18*F20</f>
        <v>38.847625086019548</v>
      </c>
      <c r="G21" s="200">
        <f t="shared" ref="G21" si="313">G18*G20</f>
        <v>36.839557196837696</v>
      </c>
      <c r="H21" s="200">
        <f t="shared" ref="H21" si="314">H18*H20</f>
        <v>34.803498766346848</v>
      </c>
      <c r="I21" s="200">
        <f t="shared" ref="I21" si="315">I18*I20</f>
        <v>19.643412476265269</v>
      </c>
      <c r="J21" s="200">
        <f t="shared" ref="J21" si="316">J18*J20</f>
        <v>18.387412647396783</v>
      </c>
      <c r="K21" s="200">
        <f t="shared" ref="K21" si="317">K18*K20</f>
        <v>17.113834473798942</v>
      </c>
      <c r="L21" s="200">
        <f t="shared" ref="L21" si="318">L18*L20</f>
        <v>15.822408616120073</v>
      </c>
      <c r="M21" s="200">
        <f t="shared" ref="M21" si="319">M18*M20</f>
        <v>14.512861633515385</v>
      </c>
      <c r="N21" s="200">
        <f t="shared" ref="N21" si="320">N18*N20</f>
        <v>13.184915921164304</v>
      </c>
      <c r="O21" s="200">
        <f t="shared" ref="O21" si="321">O18*O20</f>
        <v>11.838289646835952</v>
      </c>
      <c r="P21" s="200">
        <f t="shared" ref="P21" si="322">P18*P20</f>
        <v>10.472696686488293</v>
      </c>
      <c r="Q21" s="200">
        <f t="shared" ref="Q21" si="323">Q18*Q20</f>
        <v>9.087846558886195</v>
      </c>
      <c r="R21" s="200">
        <f t="shared" ref="R21" si="324">R18*R20</f>
        <v>7.683444359223488</v>
      </c>
      <c r="S21" s="200">
        <f t="shared" ref="S21" si="325">S18*S20</f>
        <v>6.2591906917338465</v>
      </c>
      <c r="T21" s="200">
        <f t="shared" ref="T21" si="326">T18*T20</f>
        <v>4.814781601275083</v>
      </c>
      <c r="U21" s="200">
        <f t="shared" ref="U21" si="327">U18*U20</f>
        <v>3.3499085038712022</v>
      </c>
      <c r="V21" s="200">
        <f t="shared" ref="V21" si="328">V18*V20</f>
        <v>1.8642581161963672</v>
      </c>
      <c r="W21" s="200">
        <f t="shared" ref="W21" si="329">W18*W20</f>
        <v>0.35751238398463631</v>
      </c>
      <c r="X21" s="200">
        <f t="shared" ref="X21" si="330">X18*X20</f>
        <v>0</v>
      </c>
      <c r="Y21" s="200">
        <f t="shared" ref="Y21" si="331">Y18*Y20</f>
        <v>0</v>
      </c>
      <c r="Z21" s="200">
        <f t="shared" ref="Z21" si="332">Z18*Z20</f>
        <v>0</v>
      </c>
      <c r="AA21" s="200">
        <f t="shared" ref="AA21" si="333">AA18*AA20</f>
        <v>0</v>
      </c>
      <c r="AB21" s="200">
        <f t="shared" ref="AB21" si="334">AB18*AB20</f>
        <v>0</v>
      </c>
      <c r="AC21" s="200">
        <f t="shared" ref="AC21" si="335">AC18*AC20</f>
        <v>0</v>
      </c>
      <c r="AD21" s="200">
        <f t="shared" ref="AD21" si="336">AD18*AD20</f>
        <v>0</v>
      </c>
      <c r="AE21" s="200">
        <f t="shared" ref="AE21" si="337">AE18*AE20</f>
        <v>0</v>
      </c>
      <c r="AF21" s="200">
        <f t="shared" ref="AF21" si="338">AF18*AF20</f>
        <v>0</v>
      </c>
      <c r="AG21" s="200">
        <f t="shared" ref="AG21" si="339">AG18*AG20</f>
        <v>0</v>
      </c>
      <c r="AH21" s="200">
        <f t="shared" ref="AH21" si="340">AH18*AH20</f>
        <v>0</v>
      </c>
      <c r="AI21" s="200">
        <f t="shared" ref="AI21" si="341">AI18*AI20</f>
        <v>0</v>
      </c>
      <c r="AJ21" s="200">
        <f t="shared" ref="AJ21" si="342">AJ18*AJ20</f>
        <v>0</v>
      </c>
      <c r="AK21" s="200">
        <f t="shared" ref="AK21" si="343">AK18*AK20</f>
        <v>0</v>
      </c>
      <c r="AL21" s="200">
        <f t="shared" ref="AL21" si="344">AL18*AL20</f>
        <v>0</v>
      </c>
      <c r="AM21" s="200">
        <f t="shared" ref="AM21" si="345">AM18*AM20</f>
        <v>0</v>
      </c>
      <c r="AN21" s="200">
        <f t="shared" ref="AN21" si="346">AN18*AN20</f>
        <v>0</v>
      </c>
      <c r="AO21" s="200">
        <f t="shared" ref="AO21" si="347">AO18*AO20</f>
        <v>0</v>
      </c>
      <c r="AP21" s="200">
        <f t="shared" ref="AP21" si="348">AP18*AP20</f>
        <v>0</v>
      </c>
      <c r="AQ21" s="200">
        <f t="shared" ref="AQ21" si="349">AQ18*AQ20</f>
        <v>0</v>
      </c>
      <c r="AR21" s="200">
        <f t="shared" ref="AR21" si="350">AR18*AR20</f>
        <v>0</v>
      </c>
      <c r="AS21" s="200">
        <f t="shared" ref="AS21" si="351">AS18*AS20</f>
        <v>0</v>
      </c>
      <c r="AT21" s="200">
        <f t="shared" ref="AT21" si="352">AT18*AT20</f>
        <v>0</v>
      </c>
      <c r="AU21" s="200">
        <f t="shared" ref="AU21" si="353">AU18*AU20</f>
        <v>0</v>
      </c>
      <c r="AV21" s="200">
        <f t="shared" ref="AV21" si="354">AV18*AV20</f>
        <v>0</v>
      </c>
      <c r="AW21" s="200">
        <f t="shared" ref="AW21" si="355">AW18*AW20</f>
        <v>0</v>
      </c>
      <c r="AX21" s="200">
        <f t="shared" ref="AX21" si="356">AX18*AX20</f>
        <v>0</v>
      </c>
      <c r="AY21" s="200">
        <f t="shared" ref="AY21" si="357">AY18*AY20</f>
        <v>0</v>
      </c>
      <c r="AZ21" s="200">
        <f t="shared" ref="AZ21" si="358">AZ18*AZ20</f>
        <v>0</v>
      </c>
      <c r="BA21" s="200">
        <f t="shared" ref="BA21" si="359">BA18*BA20</f>
        <v>0</v>
      </c>
      <c r="BB21" s="200">
        <f t="shared" ref="BB21" si="360">BB18*BB20</f>
        <v>0</v>
      </c>
      <c r="BC21" s="200">
        <f t="shared" ref="BC21" si="361">BC18*BC20</f>
        <v>0</v>
      </c>
      <c r="BD21" s="200">
        <f t="shared" ref="BD21" si="362">BD18*BD20</f>
        <v>0</v>
      </c>
      <c r="BE21" s="200">
        <f t="shared" ref="BE21" si="363">BE18*BE20</f>
        <v>0</v>
      </c>
      <c r="BF21" s="200">
        <f t="shared" ref="BF21" si="364">BF18*BF20</f>
        <v>0</v>
      </c>
      <c r="BG21" s="200">
        <f t="shared" ref="BG21" si="365">BG18*BG20</f>
        <v>0</v>
      </c>
      <c r="BH21" s="200">
        <f t="shared" ref="BH21" si="366">BH18*BH20</f>
        <v>0</v>
      </c>
      <c r="BI21" s="200">
        <f t="shared" ref="BI21" si="367">BI18*BI20</f>
        <v>0</v>
      </c>
      <c r="BJ21" s="200">
        <f t="shared" ref="BJ21" si="368">BJ18*BJ20</f>
        <v>0</v>
      </c>
      <c r="BK21" s="200">
        <f t="shared" ref="BK21" si="369">BK18*BK20</f>
        <v>0</v>
      </c>
    </row>
    <row r="22" spans="1:63" ht="7.8" x14ac:dyDescent="0.15">
      <c r="A22" s="206" t="s">
        <v>97</v>
      </c>
      <c r="B22" s="192"/>
      <c r="C22" s="192"/>
      <c r="D22" s="192"/>
      <c r="E22" s="223">
        <f>E19*E20</f>
        <v>119.48390168509766</v>
      </c>
      <c r="F22" s="200">
        <f>F19*F20</f>
        <v>121.30408957239301</v>
      </c>
      <c r="G22" s="200">
        <f t="shared" ref="G22:BK22" si="370">G19*G20</f>
        <v>123.15200574691647</v>
      </c>
      <c r="H22" s="200">
        <f t="shared" si="370"/>
        <v>125.02807261446357</v>
      </c>
      <c r="I22" s="200">
        <f t="shared" si="370"/>
        <v>76.159631409392489</v>
      </c>
      <c r="J22" s="200">
        <f t="shared" si="370"/>
        <v>77.319828194375319</v>
      </c>
      <c r="K22" s="200">
        <f t="shared" si="370"/>
        <v>78.497699127131384</v>
      </c>
      <c r="L22" s="200">
        <f t="shared" si="370"/>
        <v>79.693513451209327</v>
      </c>
      <c r="M22" s="200">
        <f t="shared" si="370"/>
        <v>80.907544511746693</v>
      </c>
      <c r="N22" s="200">
        <f t="shared" si="370"/>
        <v>82.140069817952508</v>
      </c>
      <c r="O22" s="200">
        <f t="shared" si="370"/>
        <v>83.391371106541754</v>
      </c>
      <c r="P22" s="200">
        <f t="shared" si="370"/>
        <v>84.661734406136034</v>
      </c>
      <c r="Q22" s="200">
        <f t="shared" si="370"/>
        <v>85.951450102645509</v>
      </c>
      <c r="R22" s="200">
        <f t="shared" si="370"/>
        <v>87.260813005646682</v>
      </c>
      <c r="S22" s="200">
        <f t="shared" si="370"/>
        <v>88.590122415771447</v>
      </c>
      <c r="T22" s="200">
        <f t="shared" si="370"/>
        <v>89.939682193122721</v>
      </c>
      <c r="U22" s="200">
        <f t="shared" si="370"/>
        <v>91.309800826732186</v>
      </c>
      <c r="V22" s="200">
        <f t="shared" si="370"/>
        <v>92.700791505076424</v>
      </c>
      <c r="W22" s="200">
        <f t="shared" si="370"/>
        <v>94.112972187666884</v>
      </c>
      <c r="X22" s="200">
        <f t="shared" si="370"/>
        <v>0</v>
      </c>
      <c r="Y22" s="200">
        <f t="shared" si="370"/>
        <v>0</v>
      </c>
      <c r="Z22" s="200">
        <f t="shared" si="370"/>
        <v>0</v>
      </c>
      <c r="AA22" s="200">
        <f t="shared" si="370"/>
        <v>0</v>
      </c>
      <c r="AB22" s="200">
        <f t="shared" si="370"/>
        <v>0</v>
      </c>
      <c r="AC22" s="200">
        <f t="shared" si="370"/>
        <v>0</v>
      </c>
      <c r="AD22" s="200">
        <f t="shared" si="370"/>
        <v>0</v>
      </c>
      <c r="AE22" s="200">
        <f t="shared" si="370"/>
        <v>0</v>
      </c>
      <c r="AF22" s="200">
        <f t="shared" si="370"/>
        <v>0</v>
      </c>
      <c r="AG22" s="200">
        <f t="shared" si="370"/>
        <v>0</v>
      </c>
      <c r="AH22" s="200">
        <f t="shared" si="370"/>
        <v>0</v>
      </c>
      <c r="AI22" s="200">
        <f t="shared" si="370"/>
        <v>0</v>
      </c>
      <c r="AJ22" s="200">
        <f t="shared" si="370"/>
        <v>0</v>
      </c>
      <c r="AK22" s="200">
        <f t="shared" si="370"/>
        <v>0</v>
      </c>
      <c r="AL22" s="200">
        <f t="shared" si="370"/>
        <v>0</v>
      </c>
      <c r="AM22" s="200">
        <f t="shared" si="370"/>
        <v>0</v>
      </c>
      <c r="AN22" s="200">
        <f t="shared" si="370"/>
        <v>0</v>
      </c>
      <c r="AO22" s="200">
        <f t="shared" si="370"/>
        <v>0</v>
      </c>
      <c r="AP22" s="200">
        <f t="shared" si="370"/>
        <v>0</v>
      </c>
      <c r="AQ22" s="200">
        <f t="shared" si="370"/>
        <v>0</v>
      </c>
      <c r="AR22" s="200">
        <f t="shared" si="370"/>
        <v>0</v>
      </c>
      <c r="AS22" s="200">
        <f t="shared" si="370"/>
        <v>0</v>
      </c>
      <c r="AT22" s="200">
        <f t="shared" si="370"/>
        <v>0</v>
      </c>
      <c r="AU22" s="200">
        <f t="shared" si="370"/>
        <v>0</v>
      </c>
      <c r="AV22" s="200">
        <f t="shared" si="370"/>
        <v>0</v>
      </c>
      <c r="AW22" s="200">
        <f t="shared" si="370"/>
        <v>0</v>
      </c>
      <c r="AX22" s="200">
        <f t="shared" si="370"/>
        <v>0</v>
      </c>
      <c r="AY22" s="200">
        <f t="shared" si="370"/>
        <v>0</v>
      </c>
      <c r="AZ22" s="200">
        <f t="shared" si="370"/>
        <v>0</v>
      </c>
      <c r="BA22" s="200">
        <f t="shared" si="370"/>
        <v>0</v>
      </c>
      <c r="BB22" s="200">
        <f t="shared" si="370"/>
        <v>0</v>
      </c>
      <c r="BC22" s="200">
        <f t="shared" si="370"/>
        <v>0</v>
      </c>
      <c r="BD22" s="200">
        <f t="shared" si="370"/>
        <v>0</v>
      </c>
      <c r="BE22" s="200">
        <f t="shared" si="370"/>
        <v>0</v>
      </c>
      <c r="BF22" s="200">
        <f t="shared" si="370"/>
        <v>0</v>
      </c>
      <c r="BG22" s="200">
        <f t="shared" si="370"/>
        <v>0</v>
      </c>
      <c r="BH22" s="200">
        <f t="shared" si="370"/>
        <v>0</v>
      </c>
      <c r="BI22" s="200">
        <f t="shared" si="370"/>
        <v>0</v>
      </c>
      <c r="BJ22" s="200">
        <f t="shared" si="370"/>
        <v>0</v>
      </c>
      <c r="BK22" s="200">
        <f t="shared" si="370"/>
        <v>0</v>
      </c>
    </row>
    <row r="23" spans="1:63" ht="7.8" x14ac:dyDescent="0.15">
      <c r="A23" s="208" t="s">
        <v>203</v>
      </c>
      <c r="B23" s="192"/>
      <c r="C23" s="192"/>
      <c r="D23" s="192"/>
      <c r="E23" s="224">
        <f>IF(E15-101&lt;&gt;LoanSaleHeld,0,SUM($D22:E22)*LoanSalePercent)</f>
        <v>0</v>
      </c>
      <c r="F23" s="225">
        <f>IF(F15-101&lt;&gt;LoanSaleHeld,0,SUM($D22:F22)*LoanSalePercent)</f>
        <v>0</v>
      </c>
      <c r="G23" s="225">
        <f>IF(G15-101&lt;&gt;LoanSaleHeld,0,SUM($D22:G22)*LoanSalePercent)</f>
        <v>0</v>
      </c>
      <c r="H23" s="225">
        <f>IF(H15-101&lt;&gt;LoanSaleHeld,0,SUM($D22:H22)*LoanSalePercent)</f>
        <v>195.58722784754829</v>
      </c>
      <c r="I23" s="225">
        <f>IF(I15-101&lt;&gt;LoanSaleHeld,0,SUM($D22:I22)*LoanSalePercent)</f>
        <v>0</v>
      </c>
      <c r="J23" s="225">
        <f>IF(J15-101&lt;&gt;LoanSaleHeld,0,SUM($D22:J22)*LoanSalePercent)</f>
        <v>0</v>
      </c>
      <c r="K23" s="225">
        <f>IF(K15-101&lt;&gt;LoanSaleHeld,0,SUM($D22:K22)*LoanSalePercent)</f>
        <v>0</v>
      </c>
      <c r="L23" s="225">
        <f>IF(L15-101&lt;&gt;LoanSaleHeld,0,SUM($D22:L22)*LoanSalePercent)</f>
        <v>0</v>
      </c>
      <c r="M23" s="225">
        <f>IF(M15-101&lt;&gt;LoanSaleHeld,0,SUM($D22:M22)*LoanSalePercent)</f>
        <v>0</v>
      </c>
      <c r="N23" s="225">
        <f>IF(N15-101&lt;&gt;LoanSaleHeld,0,SUM($D22:N22)*LoanSalePercent)</f>
        <v>0</v>
      </c>
      <c r="O23" s="225">
        <f>IF(O15-101&lt;&gt;LoanSaleHeld,0,SUM($D22:O22)*LoanSalePercent)</f>
        <v>0</v>
      </c>
      <c r="P23" s="225">
        <f>IF(P15-101&lt;&gt;LoanSaleHeld,0,SUM($D22:P22)*LoanSalePercent)</f>
        <v>0</v>
      </c>
      <c r="Q23" s="225">
        <f>IF(Q15-101&lt;&gt;LoanSaleHeld,0,SUM($D22:Q22)*LoanSalePercent)</f>
        <v>0</v>
      </c>
      <c r="R23" s="225">
        <f>IF(R15-101&lt;&gt;LoanSaleHeld,0,SUM($D22:R22)*LoanSalePercent)</f>
        <v>0</v>
      </c>
      <c r="S23" s="225">
        <f>IF(S15-101&lt;&gt;LoanSaleHeld,0,SUM($D22:S22)*LoanSalePercent)</f>
        <v>0</v>
      </c>
      <c r="T23" s="225">
        <f>IF(T15-101&lt;&gt;LoanSaleHeld,0,SUM($D22:T22)*LoanSalePercent)</f>
        <v>0</v>
      </c>
      <c r="U23" s="225">
        <f>IF(U15-101&lt;&gt;LoanSaleHeld,0,SUM($D22:U22)*LoanSalePercent)</f>
        <v>0</v>
      </c>
      <c r="V23" s="225">
        <f>IF(V15-101&lt;&gt;LoanSaleHeld,0,SUM($D22:V22)*LoanSalePercent)</f>
        <v>0</v>
      </c>
      <c r="W23" s="225">
        <f>IF(W15-101&lt;&gt;LoanSaleHeld,0,SUM($D22:W22)*LoanSalePercent)</f>
        <v>0</v>
      </c>
      <c r="X23" s="225">
        <f>IF(X15-101&lt;&gt;LoanSaleHeld,0,SUM($D22:X22)*LoanSalePercent)</f>
        <v>0</v>
      </c>
      <c r="Y23" s="225">
        <f>IF(Y15-101&lt;&gt;LoanSaleHeld,0,SUM($D22:Y22)*LoanSalePercent)</f>
        <v>0</v>
      </c>
      <c r="Z23" s="225">
        <f>IF(Z15-101&lt;&gt;LoanSaleHeld,0,SUM($D22:Z22)*LoanSalePercent)</f>
        <v>0</v>
      </c>
      <c r="AA23" s="225">
        <f>IF(AA15-101&lt;&gt;LoanSaleHeld,0,SUM($D22:AA22)*LoanSalePercent)</f>
        <v>0</v>
      </c>
      <c r="AB23" s="225">
        <f>IF(AB15-101&lt;&gt;LoanSaleHeld,0,SUM($D22:AB22)*LoanSalePercent)</f>
        <v>0</v>
      </c>
      <c r="AC23" s="225">
        <f>IF(AC15-101&lt;&gt;LoanSaleHeld,0,SUM($D22:AC22)*LoanSalePercent)</f>
        <v>0</v>
      </c>
      <c r="AD23" s="225">
        <f>IF(AD15-101&lt;&gt;LoanSaleHeld,0,SUM($D22:AD22)*LoanSalePercent)</f>
        <v>0</v>
      </c>
      <c r="AE23" s="225">
        <f>IF(AE15-101&lt;&gt;LoanSaleHeld,0,SUM($D22:AE22)*LoanSalePercent)</f>
        <v>0</v>
      </c>
      <c r="AF23" s="225">
        <f>IF(AF15-101&lt;&gt;LoanSaleHeld,0,SUM($D22:AF22)*LoanSalePercent)</f>
        <v>0</v>
      </c>
      <c r="AG23" s="225">
        <f>IF(AG15-101&lt;&gt;LoanSaleHeld,0,SUM($D22:AG22)*LoanSalePercent)</f>
        <v>0</v>
      </c>
      <c r="AH23" s="225">
        <f>IF(AH15-101&lt;&gt;LoanSaleHeld,0,SUM($D22:AH22)*LoanSalePercent)</f>
        <v>0</v>
      </c>
      <c r="AI23" s="225">
        <f>IF(AI15-101&lt;&gt;LoanSaleHeld,0,SUM($D22:AI22)*LoanSalePercent)</f>
        <v>0</v>
      </c>
      <c r="AJ23" s="225">
        <f>IF(AJ15-101&lt;&gt;LoanSaleHeld,0,SUM($D22:AJ22)*LoanSalePercent)</f>
        <v>0</v>
      </c>
      <c r="AK23" s="225">
        <f>IF(AK15-101&lt;&gt;LoanSaleHeld,0,SUM($D22:AK22)*LoanSalePercent)</f>
        <v>0</v>
      </c>
      <c r="AL23" s="225">
        <f>IF(AL15-101&lt;&gt;LoanSaleHeld,0,SUM($D22:AL22)*LoanSalePercent)</f>
        <v>0</v>
      </c>
      <c r="AM23" s="225">
        <f>IF(AM15-101&lt;&gt;LoanSaleHeld,0,SUM($D22:AM22)*LoanSalePercent)</f>
        <v>0</v>
      </c>
      <c r="AN23" s="225">
        <f>IF(AN15-101&lt;&gt;LoanSaleHeld,0,SUM($D22:AN22)*LoanSalePercent)</f>
        <v>0</v>
      </c>
      <c r="AO23" s="225">
        <f>IF(AO15-101&lt;&gt;LoanSaleHeld,0,SUM($D22:AO22)*LoanSalePercent)</f>
        <v>0</v>
      </c>
      <c r="AP23" s="225">
        <f>IF(AP15-101&lt;&gt;LoanSaleHeld,0,SUM($D22:AP22)*LoanSalePercent)</f>
        <v>0</v>
      </c>
      <c r="AQ23" s="225">
        <f>IF(AQ15-101&lt;&gt;LoanSaleHeld,0,SUM($D22:AQ22)*LoanSalePercent)</f>
        <v>0</v>
      </c>
      <c r="AR23" s="225">
        <f>IF(AR15-101&lt;&gt;LoanSaleHeld,0,SUM($D22:AR22)*LoanSalePercent)</f>
        <v>0</v>
      </c>
      <c r="AS23" s="225">
        <f>IF(AS15-101&lt;&gt;LoanSaleHeld,0,SUM($D22:AS22)*LoanSalePercent)</f>
        <v>0</v>
      </c>
      <c r="AT23" s="225">
        <f>IF(AT15-101&lt;&gt;LoanSaleHeld,0,SUM($D22:AT22)*LoanSalePercent)</f>
        <v>0</v>
      </c>
      <c r="AU23" s="225">
        <f>IF(AU15-101&lt;&gt;LoanSaleHeld,0,SUM($D22:AU22)*LoanSalePercent)</f>
        <v>0</v>
      </c>
      <c r="AV23" s="225">
        <f>IF(AV15-101&lt;&gt;LoanSaleHeld,0,SUM($D22:AV22)*LoanSalePercent)</f>
        <v>0</v>
      </c>
      <c r="AW23" s="225">
        <f>IF(AW15-101&lt;&gt;LoanSaleHeld,0,SUM($D22:AW22)*LoanSalePercent)</f>
        <v>0</v>
      </c>
      <c r="AX23" s="225">
        <f>IF(AX15-101&lt;&gt;LoanSaleHeld,0,SUM($D22:AX22)*LoanSalePercent)</f>
        <v>0</v>
      </c>
      <c r="AY23" s="225">
        <f>IF(AY15-101&lt;&gt;LoanSaleHeld,0,SUM($D22:AY22)*LoanSalePercent)</f>
        <v>0</v>
      </c>
      <c r="AZ23" s="225">
        <f>IF(AZ15-101&lt;&gt;LoanSaleHeld,0,SUM($D22:AZ22)*LoanSalePercent)</f>
        <v>0</v>
      </c>
      <c r="BA23" s="225">
        <f>IF(BA15-101&lt;&gt;LoanSaleHeld,0,SUM($D22:BA22)*LoanSalePercent)</f>
        <v>0</v>
      </c>
      <c r="BB23" s="225">
        <f>IF(BB15-101&lt;&gt;LoanSaleHeld,0,SUM($D22:BB22)*LoanSalePercent)</f>
        <v>0</v>
      </c>
      <c r="BC23" s="225">
        <f>IF(BC15-101&lt;&gt;LoanSaleHeld,0,SUM($D22:BC22)*LoanSalePercent)</f>
        <v>0</v>
      </c>
      <c r="BD23" s="225">
        <f>IF(BD15-101&lt;&gt;LoanSaleHeld,0,SUM($D22:BD22)*LoanSalePercent)</f>
        <v>0</v>
      </c>
      <c r="BE23" s="225">
        <f>IF(BE15-101&lt;&gt;LoanSaleHeld,0,SUM($D22:BE22)*LoanSalePercent)</f>
        <v>0</v>
      </c>
      <c r="BF23" s="225">
        <f>IF(BF15-101&lt;&gt;LoanSaleHeld,0,SUM($D22:BF22)*LoanSalePercent)</f>
        <v>0</v>
      </c>
      <c r="BG23" s="225">
        <f>IF(BG15-101&lt;&gt;LoanSaleHeld,0,SUM($D22:BG22)*LoanSalePercent)</f>
        <v>0</v>
      </c>
      <c r="BH23" s="225">
        <f>IF(BH15-101&lt;&gt;LoanSaleHeld,0,SUM($D22:BH22)*LoanSalePercent)</f>
        <v>0</v>
      </c>
      <c r="BI23" s="225">
        <f>IF(BI15-101&lt;&gt;LoanSaleHeld,0,SUM($D22:BI22)*LoanSalePercent)</f>
        <v>0</v>
      </c>
      <c r="BJ23" s="225">
        <f>IF(BJ15-101&lt;&gt;LoanSaleHeld,0,SUM($D22:BJ22)*LoanSalePercent)</f>
        <v>0</v>
      </c>
      <c r="BK23" s="225">
        <f>IF(BK15-101&lt;&gt;LoanSaleHeld,0,SUM($D22:BK22)*LoanSalePercent)</f>
        <v>0</v>
      </c>
    </row>
    <row r="24" spans="1:63" ht="7.8" x14ac:dyDescent="0.15">
      <c r="A24" s="204">
        <f t="shared" ref="A24" si="371">A15+1</f>
        <v>3</v>
      </c>
      <c r="B24" s="192"/>
      <c r="C24" s="192"/>
      <c r="D24" s="192"/>
      <c r="E24" s="192"/>
      <c r="F24" s="195">
        <v>101</v>
      </c>
      <c r="G24" s="196">
        <f t="shared" ref="G24" si="372">IF(G25=0,0,F24+1)</f>
        <v>102</v>
      </c>
      <c r="H24" s="196">
        <f t="shared" ref="H24" si="373">IF(H25=0,0,G24+1)</f>
        <v>103</v>
      </c>
      <c r="I24" s="196">
        <f t="shared" ref="I24" si="374">IF(I25=0,0,H24+1)</f>
        <v>104</v>
      </c>
      <c r="J24" s="196">
        <f t="shared" ref="J24" si="375">IF(J25=0,0,I24+1)</f>
        <v>105</v>
      </c>
      <c r="K24" s="196">
        <f t="shared" ref="K24" si="376">IF(K25=0,0,J24+1)</f>
        <v>106</v>
      </c>
      <c r="L24" s="196">
        <f t="shared" ref="L24" si="377">IF(L25=0,0,K24+1)</f>
        <v>107</v>
      </c>
      <c r="M24" s="196">
        <f t="shared" ref="M24" si="378">IF(M25=0,0,L24+1)</f>
        <v>108</v>
      </c>
      <c r="N24" s="196">
        <f t="shared" ref="N24" si="379">IF(N25=0,0,M24+1)</f>
        <v>109</v>
      </c>
      <c r="O24" s="196">
        <f t="shared" ref="O24" si="380">IF(O25=0,0,N24+1)</f>
        <v>110</v>
      </c>
      <c r="P24" s="196">
        <f t="shared" ref="P24" si="381">IF(P25=0,0,O24+1)</f>
        <v>111</v>
      </c>
      <c r="Q24" s="196">
        <f t="shared" ref="Q24" si="382">IF(Q25=0,0,P24+1)</f>
        <v>112</v>
      </c>
      <c r="R24" s="196">
        <f t="shared" ref="R24" si="383">IF(R25=0,0,Q24+1)</f>
        <v>113</v>
      </c>
      <c r="S24" s="196">
        <f t="shared" ref="S24" si="384">IF(S25=0,0,R24+1)</f>
        <v>114</v>
      </c>
      <c r="T24" s="196">
        <f t="shared" ref="T24" si="385">IF(T25=0,0,S24+1)</f>
        <v>115</v>
      </c>
      <c r="U24" s="196">
        <f t="shared" ref="U24" si="386">IF(U25=0,0,T24+1)</f>
        <v>116</v>
      </c>
      <c r="V24" s="196">
        <f t="shared" ref="V24" si="387">IF(V25=0,0,U24+1)</f>
        <v>117</v>
      </c>
      <c r="W24" s="196">
        <f t="shared" ref="W24" si="388">IF(W25=0,0,V24+1)</f>
        <v>118</v>
      </c>
      <c r="X24" s="196">
        <f t="shared" ref="X24" si="389">IF(X25=0,0,W24+1)</f>
        <v>119</v>
      </c>
      <c r="Y24" s="196">
        <f t="shared" ref="Y24" si="390">IF(Y25=0,0,X24+1)</f>
        <v>0</v>
      </c>
      <c r="Z24" s="196">
        <f t="shared" ref="Z24" si="391">IF(Z25=0,0,Y24+1)</f>
        <v>0</v>
      </c>
      <c r="AA24" s="196">
        <f t="shared" ref="AA24" si="392">IF(AA25=0,0,Z24+1)</f>
        <v>0</v>
      </c>
      <c r="AB24" s="196">
        <f t="shared" ref="AB24" si="393">IF(AB25=0,0,AA24+1)</f>
        <v>0</v>
      </c>
      <c r="AC24" s="196">
        <f t="shared" ref="AC24" si="394">IF(AC25=0,0,AB24+1)</f>
        <v>0</v>
      </c>
      <c r="AD24" s="196">
        <f t="shared" ref="AD24" si="395">IF(AD25=0,0,AC24+1)</f>
        <v>0</v>
      </c>
      <c r="AE24" s="196">
        <f t="shared" ref="AE24" si="396">IF(AE25=0,0,AD24+1)</f>
        <v>0</v>
      </c>
      <c r="AF24" s="196">
        <f t="shared" ref="AF24" si="397">IF(AF25=0,0,AE24+1)</f>
        <v>0</v>
      </c>
      <c r="AG24" s="196">
        <f t="shared" ref="AG24" si="398">IF(AG25=0,0,AF24+1)</f>
        <v>0</v>
      </c>
      <c r="AH24" s="196">
        <f t="shared" ref="AH24" si="399">IF(AH25=0,0,AG24+1)</f>
        <v>0</v>
      </c>
      <c r="AI24" s="196">
        <f t="shared" ref="AI24" si="400">IF(AI25=0,0,AH24+1)</f>
        <v>0</v>
      </c>
      <c r="AJ24" s="196">
        <f t="shared" ref="AJ24" si="401">IF(AJ25=0,0,AI24+1)</f>
        <v>0</v>
      </c>
      <c r="AK24" s="196">
        <f t="shared" ref="AK24" si="402">IF(AK25=0,0,AJ24+1)</f>
        <v>0</v>
      </c>
      <c r="AL24" s="196">
        <f t="shared" ref="AL24" si="403">IF(AL25=0,0,AK24+1)</f>
        <v>0</v>
      </c>
      <c r="AM24" s="196">
        <f t="shared" ref="AM24" si="404">IF(AM25=0,0,AL24+1)</f>
        <v>0</v>
      </c>
      <c r="AN24" s="196">
        <f t="shared" ref="AN24" si="405">IF(AN25=0,0,AM24+1)</f>
        <v>0</v>
      </c>
      <c r="AO24" s="196">
        <f t="shared" ref="AO24" si="406">IF(AO25=0,0,AN24+1)</f>
        <v>0</v>
      </c>
      <c r="AP24" s="196">
        <f t="shared" ref="AP24" si="407">IF(AP25=0,0,AO24+1)</f>
        <v>0</v>
      </c>
      <c r="AQ24" s="196">
        <f t="shared" ref="AQ24" si="408">IF(AQ25=0,0,AP24+1)</f>
        <v>0</v>
      </c>
      <c r="AR24" s="196">
        <f t="shared" ref="AR24" si="409">IF(AR25=0,0,AQ24+1)</f>
        <v>0</v>
      </c>
      <c r="AS24" s="196">
        <f t="shared" ref="AS24" si="410">IF(AS25=0,0,AR24+1)</f>
        <v>0</v>
      </c>
      <c r="AT24" s="196">
        <f t="shared" ref="AT24" si="411">IF(AT25=0,0,AS24+1)</f>
        <v>0</v>
      </c>
      <c r="AU24" s="196">
        <f t="shared" ref="AU24" si="412">IF(AU25=0,0,AT24+1)</f>
        <v>0</v>
      </c>
      <c r="AV24" s="196">
        <f t="shared" ref="AV24" si="413">IF(AV25=0,0,AU24+1)</f>
        <v>0</v>
      </c>
      <c r="AW24" s="196">
        <f t="shared" ref="AW24" si="414">IF(AW25=0,0,AV24+1)</f>
        <v>0</v>
      </c>
      <c r="AX24" s="196">
        <f t="shared" ref="AX24" si="415">IF(AX25=0,0,AW24+1)</f>
        <v>0</v>
      </c>
      <c r="AY24" s="196">
        <f t="shared" ref="AY24" si="416">IF(AY25=0,0,AX24+1)</f>
        <v>0</v>
      </c>
      <c r="AZ24" s="196">
        <f t="shared" ref="AZ24" si="417">IF(AZ25=0,0,AY24+1)</f>
        <v>0</v>
      </c>
      <c r="BA24" s="196">
        <f t="shared" ref="BA24" si="418">IF(BA25=0,0,AZ24+1)</f>
        <v>0</v>
      </c>
      <c r="BB24" s="196">
        <f t="shared" ref="BB24" si="419">IF(BB25=0,0,BA24+1)</f>
        <v>0</v>
      </c>
      <c r="BC24" s="196">
        <f t="shared" ref="BC24" si="420">IF(BC25=0,0,BB24+1)</f>
        <v>0</v>
      </c>
      <c r="BD24" s="196">
        <f t="shared" ref="BD24" si="421">IF(BD25=0,0,BC24+1)</f>
        <v>0</v>
      </c>
      <c r="BE24" s="196">
        <f t="shared" ref="BE24" si="422">IF(BE25=0,0,BD24+1)</f>
        <v>0</v>
      </c>
      <c r="BF24" s="196">
        <f t="shared" ref="BF24" si="423">IF(BF25=0,0,BE24+1)</f>
        <v>0</v>
      </c>
      <c r="BG24" s="196">
        <f t="shared" ref="BG24" si="424">IF(BG25=0,0,BF24+1)</f>
        <v>0</v>
      </c>
      <c r="BH24" s="196">
        <f t="shared" ref="BH24" si="425">IF(BH25=0,0,BG24+1)</f>
        <v>0</v>
      </c>
      <c r="BI24" s="196">
        <f t="shared" ref="BI24" si="426">IF(BI25=0,0,BH24+1)</f>
        <v>0</v>
      </c>
      <c r="BJ24" s="196">
        <f t="shared" ref="BJ24" si="427">IF(BJ25=0,0,BI24+1)</f>
        <v>0</v>
      </c>
      <c r="BK24" s="196">
        <f t="shared" ref="BK24" si="428">IF(BK25=0,0,BJ24+1)</f>
        <v>0</v>
      </c>
    </row>
    <row r="25" spans="1:63" ht="7.8" x14ac:dyDescent="0.15">
      <c r="A25" s="216" t="s">
        <v>178</v>
      </c>
      <c r="B25" s="192"/>
      <c r="C25" s="192"/>
      <c r="D25" s="192"/>
      <c r="E25" s="192"/>
      <c r="F25" s="217">
        <f>LoanSize</f>
        <v>25</v>
      </c>
      <c r="G25" s="215">
        <f>IF(F25-F28&lt;=0.1,0,F25-F28)</f>
        <v>23.811105455869676</v>
      </c>
      <c r="H25" s="215">
        <f t="shared" ref="H25:BK25" si="429">IF(G25-G28&lt;=0.1,0,G25-G28)</f>
        <v>22.602891375397235</v>
      </c>
      <c r="I25" s="215">
        <f t="shared" si="429"/>
        <v>21.375043816117113</v>
      </c>
      <c r="J25" s="215">
        <f t="shared" si="429"/>
        <v>20.127243733998689</v>
      </c>
      <c r="K25" s="215">
        <f t="shared" si="429"/>
        <v>18.859166900545844</v>
      </c>
      <c r="L25" s="215">
        <f t="shared" si="429"/>
        <v>17.570483818549388</v>
      </c>
      <c r="M25" s="215">
        <f t="shared" si="429"/>
        <v>16.260859636470489</v>
      </c>
      <c r="N25" s="215">
        <f t="shared" si="429"/>
        <v>14.929954061432809</v>
      </c>
      <c r="O25" s="215">
        <f t="shared" si="429"/>
        <v>13.577421270800768</v>
      </c>
      <c r="P25" s="215">
        <f t="shared" si="429"/>
        <v>12.202909822320954</v>
      </c>
      <c r="Q25" s="215">
        <f t="shared" si="429"/>
        <v>10.806062562803344</v>
      </c>
      <c r="R25" s="215">
        <f t="shared" si="429"/>
        <v>9.3865165353185738</v>
      </c>
      <c r="S25" s="215">
        <f t="shared" si="429"/>
        <v>7.9439028848871756</v>
      </c>
      <c r="T25" s="215">
        <f t="shared" si="429"/>
        <v>6.4778467626362666</v>
      </c>
      <c r="U25" s="215">
        <f t="shared" si="429"/>
        <v>4.987967228398781</v>
      </c>
      <c r="V25" s="215">
        <f t="shared" si="429"/>
        <v>3.4738771517299361</v>
      </c>
      <c r="W25" s="215">
        <f t="shared" si="429"/>
        <v>1.9351831113152225</v>
      </c>
      <c r="X25" s="215">
        <f t="shared" si="429"/>
        <v>0.37148529274376973</v>
      </c>
      <c r="Y25" s="215">
        <f t="shared" si="429"/>
        <v>0</v>
      </c>
      <c r="Z25" s="215">
        <f t="shared" si="429"/>
        <v>0</v>
      </c>
      <c r="AA25" s="215">
        <f t="shared" si="429"/>
        <v>0</v>
      </c>
      <c r="AB25" s="215">
        <f t="shared" si="429"/>
        <v>0</v>
      </c>
      <c r="AC25" s="215">
        <f t="shared" si="429"/>
        <v>0</v>
      </c>
      <c r="AD25" s="215">
        <f t="shared" si="429"/>
        <v>0</v>
      </c>
      <c r="AE25" s="215">
        <f t="shared" si="429"/>
        <v>0</v>
      </c>
      <c r="AF25" s="215">
        <f t="shared" si="429"/>
        <v>0</v>
      </c>
      <c r="AG25" s="215">
        <f t="shared" si="429"/>
        <v>0</v>
      </c>
      <c r="AH25" s="215">
        <f t="shared" si="429"/>
        <v>0</v>
      </c>
      <c r="AI25" s="215">
        <f t="shared" si="429"/>
        <v>0</v>
      </c>
      <c r="AJ25" s="215">
        <f t="shared" si="429"/>
        <v>0</v>
      </c>
      <c r="AK25" s="215">
        <f t="shared" si="429"/>
        <v>0</v>
      </c>
      <c r="AL25" s="215">
        <f t="shared" si="429"/>
        <v>0</v>
      </c>
      <c r="AM25" s="215">
        <f t="shared" si="429"/>
        <v>0</v>
      </c>
      <c r="AN25" s="215">
        <f t="shared" si="429"/>
        <v>0</v>
      </c>
      <c r="AO25" s="215">
        <f t="shared" si="429"/>
        <v>0</v>
      </c>
      <c r="AP25" s="215">
        <f t="shared" si="429"/>
        <v>0</v>
      </c>
      <c r="AQ25" s="215">
        <f t="shared" si="429"/>
        <v>0</v>
      </c>
      <c r="AR25" s="215">
        <f t="shared" si="429"/>
        <v>0</v>
      </c>
      <c r="AS25" s="215">
        <f t="shared" si="429"/>
        <v>0</v>
      </c>
      <c r="AT25" s="215">
        <f t="shared" si="429"/>
        <v>0</v>
      </c>
      <c r="AU25" s="215">
        <f t="shared" si="429"/>
        <v>0</v>
      </c>
      <c r="AV25" s="215">
        <f t="shared" si="429"/>
        <v>0</v>
      </c>
      <c r="AW25" s="215">
        <f t="shared" si="429"/>
        <v>0</v>
      </c>
      <c r="AX25" s="215">
        <f t="shared" si="429"/>
        <v>0</v>
      </c>
      <c r="AY25" s="215">
        <f t="shared" si="429"/>
        <v>0</v>
      </c>
      <c r="AZ25" s="215">
        <f t="shared" si="429"/>
        <v>0</v>
      </c>
      <c r="BA25" s="215">
        <f t="shared" si="429"/>
        <v>0</v>
      </c>
      <c r="BB25" s="215">
        <f t="shared" si="429"/>
        <v>0</v>
      </c>
      <c r="BC25" s="215">
        <f t="shared" si="429"/>
        <v>0</v>
      </c>
      <c r="BD25" s="215">
        <f t="shared" si="429"/>
        <v>0</v>
      </c>
      <c r="BE25" s="215">
        <f t="shared" si="429"/>
        <v>0</v>
      </c>
      <c r="BF25" s="215">
        <f t="shared" si="429"/>
        <v>0</v>
      </c>
      <c r="BG25" s="215">
        <f t="shared" si="429"/>
        <v>0</v>
      </c>
      <c r="BH25" s="215">
        <f t="shared" si="429"/>
        <v>0</v>
      </c>
      <c r="BI25" s="215">
        <f t="shared" si="429"/>
        <v>0</v>
      </c>
      <c r="BJ25" s="215">
        <f t="shared" si="429"/>
        <v>0</v>
      </c>
      <c r="BK25" s="215">
        <f t="shared" si="429"/>
        <v>0</v>
      </c>
    </row>
    <row r="26" spans="1:63" ht="7.8" x14ac:dyDescent="0.15">
      <c r="A26" s="218" t="s">
        <v>179</v>
      </c>
      <c r="B26" s="192"/>
      <c r="C26" s="192"/>
      <c r="D26" s="192"/>
      <c r="E26" s="192"/>
      <c r="F26" s="219">
        <f>IF(F25=0,0,PMT(INDEX(LoanCohortRate,1),LoanTerm, -LoanSize))</f>
        <v>1.5951445441303251</v>
      </c>
      <c r="G26" s="222">
        <f t="shared" ref="G26" si="430">IF(G25=0,0, F26)</f>
        <v>1.5951445441303251</v>
      </c>
      <c r="H26" s="222">
        <f t="shared" ref="H26" si="431">IF(H25=0,0, G26)</f>
        <v>1.5951445441303251</v>
      </c>
      <c r="I26" s="222">
        <f t="shared" ref="I26" si="432">IF(I25=0,0, H26)</f>
        <v>1.5951445441303251</v>
      </c>
      <c r="J26" s="222">
        <f t="shared" ref="J26" si="433">IF(J25=0,0, I26)</f>
        <v>1.5951445441303251</v>
      </c>
      <c r="K26" s="222">
        <f t="shared" ref="K26" si="434">IF(K25=0,0, J26)</f>
        <v>1.5951445441303251</v>
      </c>
      <c r="L26" s="222">
        <f t="shared" ref="L26" si="435">IF(L25=0,0, K26)</f>
        <v>1.5951445441303251</v>
      </c>
      <c r="M26" s="222">
        <f t="shared" ref="M26" si="436">IF(M25=0,0, L26)</f>
        <v>1.5951445441303251</v>
      </c>
      <c r="N26" s="222">
        <f t="shared" ref="N26" si="437">IF(N25=0,0, M26)</f>
        <v>1.5951445441303251</v>
      </c>
      <c r="O26" s="222">
        <f t="shared" ref="O26" si="438">IF(O25=0,0, N26)</f>
        <v>1.5951445441303251</v>
      </c>
      <c r="P26" s="222">
        <f t="shared" ref="P26" si="439">IF(P25=0,0, O26)</f>
        <v>1.5951445441303251</v>
      </c>
      <c r="Q26" s="222">
        <f t="shared" ref="Q26" si="440">IF(Q25=0,0, P26)</f>
        <v>1.5951445441303251</v>
      </c>
      <c r="R26" s="222">
        <f t="shared" ref="R26" si="441">IF(R25=0,0, Q26)</f>
        <v>1.5951445441303251</v>
      </c>
      <c r="S26" s="222">
        <f t="shared" ref="S26" si="442">IF(S25=0,0, R26)</f>
        <v>1.5951445441303251</v>
      </c>
      <c r="T26" s="222">
        <f t="shared" ref="T26" si="443">IF(T25=0,0, S26)</f>
        <v>1.5951445441303251</v>
      </c>
      <c r="U26" s="222">
        <f t="shared" ref="U26" si="444">IF(U25=0,0, T26)</f>
        <v>1.5951445441303251</v>
      </c>
      <c r="V26" s="222">
        <f t="shared" ref="V26" si="445">IF(V25=0,0, U26)</f>
        <v>1.5951445441303251</v>
      </c>
      <c r="W26" s="222">
        <f t="shared" ref="W26" si="446">IF(W25=0,0, V26)</f>
        <v>1.5951445441303251</v>
      </c>
      <c r="X26" s="222">
        <f t="shared" ref="X26" si="447">IF(X25=0,0, W26)</f>
        <v>1.5951445441303251</v>
      </c>
      <c r="Y26" s="222">
        <f t="shared" ref="Y26" si="448">IF(Y25=0,0, X26)</f>
        <v>0</v>
      </c>
      <c r="Z26" s="222">
        <f t="shared" ref="Z26" si="449">IF(Z25=0,0, Y26)</f>
        <v>0</v>
      </c>
      <c r="AA26" s="222">
        <f t="shared" ref="AA26" si="450">IF(AA25=0,0, Z26)</f>
        <v>0</v>
      </c>
      <c r="AB26" s="222">
        <f t="shared" ref="AB26" si="451">IF(AB25=0,0, AA26)</f>
        <v>0</v>
      </c>
      <c r="AC26" s="222">
        <f t="shared" ref="AC26" si="452">IF(AC25=0,0, AB26)</f>
        <v>0</v>
      </c>
      <c r="AD26" s="222">
        <f t="shared" ref="AD26" si="453">IF(AD25=0,0, AC26)</f>
        <v>0</v>
      </c>
      <c r="AE26" s="222">
        <f t="shared" ref="AE26" si="454">IF(AE25=0,0, AD26)</f>
        <v>0</v>
      </c>
      <c r="AF26" s="222">
        <f t="shared" ref="AF26" si="455">IF(AF25=0,0, AE26)</f>
        <v>0</v>
      </c>
      <c r="AG26" s="222">
        <f t="shared" ref="AG26" si="456">IF(AG25=0,0, AF26)</f>
        <v>0</v>
      </c>
      <c r="AH26" s="222">
        <f t="shared" ref="AH26" si="457">IF(AH25=0,0, AG26)</f>
        <v>0</v>
      </c>
      <c r="AI26" s="222">
        <f t="shared" ref="AI26" si="458">IF(AI25=0,0, AH26)</f>
        <v>0</v>
      </c>
      <c r="AJ26" s="222">
        <f t="shared" ref="AJ26" si="459">IF(AJ25=0,0, AI26)</f>
        <v>0</v>
      </c>
      <c r="AK26" s="222">
        <f t="shared" ref="AK26" si="460">IF(AK25=0,0, AJ26)</f>
        <v>0</v>
      </c>
      <c r="AL26" s="222">
        <f t="shared" ref="AL26" si="461">IF(AL25=0,0, AK26)</f>
        <v>0</v>
      </c>
      <c r="AM26" s="222">
        <f t="shared" ref="AM26" si="462">IF(AM25=0,0, AL26)</f>
        <v>0</v>
      </c>
      <c r="AN26" s="222">
        <f t="shared" ref="AN26" si="463">IF(AN25=0,0, AM26)</f>
        <v>0</v>
      </c>
      <c r="AO26" s="222">
        <f t="shared" ref="AO26" si="464">IF(AO25=0,0, AN26)</f>
        <v>0</v>
      </c>
      <c r="AP26" s="222">
        <f t="shared" ref="AP26" si="465">IF(AP25=0,0, AO26)</f>
        <v>0</v>
      </c>
      <c r="AQ26" s="222">
        <f t="shared" ref="AQ26" si="466">IF(AQ25=0,0, AP26)</f>
        <v>0</v>
      </c>
      <c r="AR26" s="222">
        <f t="shared" ref="AR26" si="467">IF(AR25=0,0, AQ26)</f>
        <v>0</v>
      </c>
      <c r="AS26" s="222">
        <f t="shared" ref="AS26" si="468">IF(AS25=0,0, AR26)</f>
        <v>0</v>
      </c>
      <c r="AT26" s="222">
        <f t="shared" ref="AT26" si="469">IF(AT25=0,0, AS26)</f>
        <v>0</v>
      </c>
      <c r="AU26" s="222">
        <f t="shared" ref="AU26" si="470">IF(AU25=0,0, AT26)</f>
        <v>0</v>
      </c>
      <c r="AV26" s="222">
        <f t="shared" ref="AV26" si="471">IF(AV25=0,0, AU26)</f>
        <v>0</v>
      </c>
      <c r="AW26" s="222">
        <f t="shared" ref="AW26" si="472">IF(AW25=0,0, AV26)</f>
        <v>0</v>
      </c>
      <c r="AX26" s="222">
        <f t="shared" ref="AX26" si="473">IF(AX25=0,0, AW26)</f>
        <v>0</v>
      </c>
      <c r="AY26" s="222">
        <f t="shared" ref="AY26" si="474">IF(AY25=0,0, AX26)</f>
        <v>0</v>
      </c>
      <c r="AZ26" s="222">
        <f t="shared" ref="AZ26" si="475">IF(AZ25=0,0, AY26)</f>
        <v>0</v>
      </c>
      <c r="BA26" s="222">
        <f t="shared" ref="BA26" si="476">IF(BA25=0,0, AZ26)</f>
        <v>0</v>
      </c>
      <c r="BB26" s="222">
        <f t="shared" ref="BB26" si="477">IF(BB25=0,0, BA26)</f>
        <v>0</v>
      </c>
      <c r="BC26" s="222">
        <f t="shared" ref="BC26" si="478">IF(BC25=0,0, BB26)</f>
        <v>0</v>
      </c>
      <c r="BD26" s="222">
        <f t="shared" ref="BD26" si="479">IF(BD25=0,0, BC26)</f>
        <v>0</v>
      </c>
      <c r="BE26" s="222">
        <f t="shared" ref="BE26" si="480">IF(BE25=0,0, BD26)</f>
        <v>0</v>
      </c>
      <c r="BF26" s="222">
        <f t="shared" ref="BF26" si="481">IF(BF25=0,0, BE26)</f>
        <v>0</v>
      </c>
      <c r="BG26" s="222">
        <f t="shared" ref="BG26" si="482">IF(BG25=0,0, BF26)</f>
        <v>0</v>
      </c>
      <c r="BH26" s="222">
        <f t="shared" ref="BH26" si="483">IF(BH25=0,0, BG26)</f>
        <v>0</v>
      </c>
      <c r="BI26" s="222">
        <f t="shared" ref="BI26" si="484">IF(BI25=0,0, BH26)</f>
        <v>0</v>
      </c>
      <c r="BJ26" s="222">
        <f t="shared" ref="BJ26" si="485">IF(BJ25=0,0, BI26)</f>
        <v>0</v>
      </c>
      <c r="BK26" s="222">
        <f t="shared" ref="BK26" si="486">IF(BK25=0,0, BJ26)</f>
        <v>0</v>
      </c>
    </row>
    <row r="27" spans="1:63" ht="7.8" x14ac:dyDescent="0.15">
      <c r="A27" s="218" t="s">
        <v>180</v>
      </c>
      <c r="B27" s="192"/>
      <c r="C27" s="192"/>
      <c r="D27" s="192"/>
      <c r="E27" s="192"/>
      <c r="F27" s="220" cm="1">
        <f t="array" ref="F27">F25*INDEX(LoanCohortRate,$A24)</f>
        <v>0.40625</v>
      </c>
      <c r="G27" s="221" cm="1">
        <f t="array" ref="G27">G25*INDEX(LoanCohortRate,$A24)</f>
        <v>0.38693046365788225</v>
      </c>
      <c r="H27" s="221" cm="1">
        <f t="array" ref="H27">H25*INDEX(LoanCohortRate,$A24)</f>
        <v>0.36729698485020507</v>
      </c>
      <c r="I27" s="221" cm="1">
        <f t="array" ref="I27">I25*INDEX(LoanCohortRate,$A24)</f>
        <v>0.34734446201190311</v>
      </c>
      <c r="J27" s="221" cm="1">
        <f t="array" ref="J27">J25*INDEX(LoanCohortRate,$A24)</f>
        <v>0.3270677106774787</v>
      </c>
      <c r="K27" s="221" cm="1">
        <f t="array" ref="K27">K25*INDEX(LoanCohortRate,$A24)</f>
        <v>0.30646146213386999</v>
      </c>
      <c r="L27" s="221" cm="1">
        <f t="array" ref="L27">L25*INDEX(LoanCohortRate,$A24)</f>
        <v>0.28552036205142756</v>
      </c>
      <c r="M27" s="221" cm="1">
        <f t="array" ref="M27">M25*INDEX(LoanCohortRate,$A24)</f>
        <v>0.26423896909264544</v>
      </c>
      <c r="N27" s="221" cm="1">
        <f t="array" ref="N27">N25*INDEX(LoanCohortRate,$A24)</f>
        <v>0.24261175349828315</v>
      </c>
      <c r="O27" s="221" cm="1">
        <f t="array" ref="O27">O25*INDEX(LoanCohortRate,$A24)</f>
        <v>0.22063309565051248</v>
      </c>
      <c r="P27" s="221" cm="1">
        <f t="array" ref="P27">P25*INDEX(LoanCohortRate,$A24)</f>
        <v>0.19829728461271551</v>
      </c>
      <c r="Q27" s="221" cm="1">
        <f t="array" ref="Q27">Q25*INDEX(LoanCohortRate,$A24)</f>
        <v>0.17559851664555434</v>
      </c>
      <c r="R27" s="221" cm="1">
        <f t="array" ref="R27">R25*INDEX(LoanCohortRate,$A24)</f>
        <v>0.15253089369892683</v>
      </c>
      <c r="S27" s="221" cm="1">
        <f t="array" ref="S27">S25*INDEX(LoanCohortRate,$A24)</f>
        <v>0.1290884218794166</v>
      </c>
      <c r="T27" s="221" cm="1">
        <f t="array" ref="T27">T25*INDEX(LoanCohortRate,$A24)</f>
        <v>0.10526500989283934</v>
      </c>
      <c r="U27" s="221" cm="1">
        <f t="array" ref="U27">U25*INDEX(LoanCohortRate,$A24)</f>
        <v>8.1054467461480192E-2</v>
      </c>
      <c r="V27" s="221" cm="1">
        <f t="array" ref="V27">V25*INDEX(LoanCohortRate,$A24)</f>
        <v>5.6450503715611465E-2</v>
      </c>
      <c r="W27" s="221" cm="1">
        <f t="array" ref="W27">W25*INDEX(LoanCohortRate,$A24)</f>
        <v>3.1446725558872367E-2</v>
      </c>
      <c r="X27" s="221" cm="1">
        <f t="array" ref="X27">X25*INDEX(LoanCohortRate,$A24)</f>
        <v>6.0366360070862584E-3</v>
      </c>
      <c r="Y27" s="221" cm="1">
        <f t="array" ref="Y27">Y25*INDEX(LoanCohortRate,$A24)</f>
        <v>0</v>
      </c>
      <c r="Z27" s="221" cm="1">
        <f t="array" ref="Z27">Z25*INDEX(LoanCohortRate,$A24)</f>
        <v>0</v>
      </c>
      <c r="AA27" s="221" cm="1">
        <f t="array" ref="AA27">AA25*INDEX(LoanCohortRate,$A24)</f>
        <v>0</v>
      </c>
      <c r="AB27" s="221" cm="1">
        <f t="array" ref="AB27">AB25*INDEX(LoanCohortRate,$A24)</f>
        <v>0</v>
      </c>
      <c r="AC27" s="221" cm="1">
        <f t="array" ref="AC27">AC25*INDEX(LoanCohortRate,$A24)</f>
        <v>0</v>
      </c>
      <c r="AD27" s="221" cm="1">
        <f t="array" ref="AD27">AD25*INDEX(LoanCohortRate,$A24)</f>
        <v>0</v>
      </c>
      <c r="AE27" s="221" cm="1">
        <f t="array" ref="AE27">AE25*INDEX(LoanCohortRate,$A24)</f>
        <v>0</v>
      </c>
      <c r="AF27" s="221" cm="1">
        <f t="array" ref="AF27">AF25*INDEX(LoanCohortRate,$A24)</f>
        <v>0</v>
      </c>
      <c r="AG27" s="221" cm="1">
        <f t="array" ref="AG27">AG25*INDEX(LoanCohortRate,$A24)</f>
        <v>0</v>
      </c>
      <c r="AH27" s="221" cm="1">
        <f t="array" ref="AH27">AH25*INDEX(LoanCohortRate,$A24)</f>
        <v>0</v>
      </c>
      <c r="AI27" s="221" cm="1">
        <f t="array" ref="AI27">AI25*INDEX(LoanCohortRate,$A24)</f>
        <v>0</v>
      </c>
      <c r="AJ27" s="221" cm="1">
        <f t="array" ref="AJ27">AJ25*INDEX(LoanCohortRate,$A24)</f>
        <v>0</v>
      </c>
      <c r="AK27" s="221" cm="1">
        <f t="array" ref="AK27">AK25*INDEX(LoanCohortRate,$A24)</f>
        <v>0</v>
      </c>
      <c r="AL27" s="221" cm="1">
        <f t="array" ref="AL27">AL25*INDEX(LoanCohortRate,$A24)</f>
        <v>0</v>
      </c>
      <c r="AM27" s="221" cm="1">
        <f t="array" ref="AM27">AM25*INDEX(LoanCohortRate,$A24)</f>
        <v>0</v>
      </c>
      <c r="AN27" s="221" cm="1">
        <f t="array" ref="AN27">AN25*INDEX(LoanCohortRate,$A24)</f>
        <v>0</v>
      </c>
      <c r="AO27" s="221" cm="1">
        <f t="array" ref="AO27">AO25*INDEX(LoanCohortRate,$A24)</f>
        <v>0</v>
      </c>
      <c r="AP27" s="221" cm="1">
        <f t="array" ref="AP27">AP25*INDEX(LoanCohortRate,$A24)</f>
        <v>0</v>
      </c>
      <c r="AQ27" s="221" cm="1">
        <f t="array" ref="AQ27">AQ25*INDEX(LoanCohortRate,$A24)</f>
        <v>0</v>
      </c>
      <c r="AR27" s="221" cm="1">
        <f t="array" ref="AR27">AR25*INDEX(LoanCohortRate,$A24)</f>
        <v>0</v>
      </c>
      <c r="AS27" s="221" cm="1">
        <f t="array" ref="AS27">AS25*INDEX(LoanCohortRate,$A24)</f>
        <v>0</v>
      </c>
      <c r="AT27" s="221" cm="1">
        <f t="array" ref="AT27">AT25*INDEX(LoanCohortRate,$A24)</f>
        <v>0</v>
      </c>
      <c r="AU27" s="221" cm="1">
        <f t="array" ref="AU27">AU25*INDEX(LoanCohortRate,$A24)</f>
        <v>0</v>
      </c>
      <c r="AV27" s="221" cm="1">
        <f t="array" ref="AV27">AV25*INDEX(LoanCohortRate,$A24)</f>
        <v>0</v>
      </c>
      <c r="AW27" s="221" cm="1">
        <f t="array" ref="AW27">AW25*INDEX(LoanCohortRate,$A24)</f>
        <v>0</v>
      </c>
      <c r="AX27" s="221" cm="1">
        <f t="array" ref="AX27">AX25*INDEX(LoanCohortRate,$A24)</f>
        <v>0</v>
      </c>
      <c r="AY27" s="221" cm="1">
        <f t="array" ref="AY27">AY25*INDEX(LoanCohortRate,$A24)</f>
        <v>0</v>
      </c>
      <c r="AZ27" s="221" cm="1">
        <f t="array" ref="AZ27">AZ25*INDEX(LoanCohortRate,$A24)</f>
        <v>0</v>
      </c>
      <c r="BA27" s="221" cm="1">
        <f t="array" ref="BA27">BA25*INDEX(LoanCohortRate,$A24)</f>
        <v>0</v>
      </c>
      <c r="BB27" s="221" cm="1">
        <f t="array" ref="BB27">BB25*INDEX(LoanCohortRate,$A24)</f>
        <v>0</v>
      </c>
      <c r="BC27" s="221" cm="1">
        <f t="array" ref="BC27">BC25*INDEX(LoanCohortRate,$A24)</f>
        <v>0</v>
      </c>
      <c r="BD27" s="221" cm="1">
        <f t="array" ref="BD27">BD25*INDEX(LoanCohortRate,$A24)</f>
        <v>0</v>
      </c>
      <c r="BE27" s="221" cm="1">
        <f t="array" ref="BE27">BE25*INDEX(LoanCohortRate,$A24)</f>
        <v>0</v>
      </c>
      <c r="BF27" s="221" cm="1">
        <f t="array" ref="BF27">BF25*INDEX(LoanCohortRate,$A24)</f>
        <v>0</v>
      </c>
      <c r="BG27" s="221" cm="1">
        <f t="array" ref="BG27">BG25*INDEX(LoanCohortRate,$A24)</f>
        <v>0</v>
      </c>
      <c r="BH27" s="221" cm="1">
        <f t="array" ref="BH27">BH25*INDEX(LoanCohortRate,$A24)</f>
        <v>0</v>
      </c>
      <c r="BI27" s="221" cm="1">
        <f t="array" ref="BI27">BI25*INDEX(LoanCohortRate,$A24)</f>
        <v>0</v>
      </c>
      <c r="BJ27" s="221" cm="1">
        <f t="array" ref="BJ27">BJ25*INDEX(LoanCohortRate,$A24)</f>
        <v>0</v>
      </c>
      <c r="BK27" s="221" cm="1">
        <f t="array" ref="BK27">BK25*INDEX(LoanCohortRate,$A24)</f>
        <v>0</v>
      </c>
    </row>
    <row r="28" spans="1:63" ht="7.8" x14ac:dyDescent="0.15">
      <c r="A28" s="218" t="s">
        <v>177</v>
      </c>
      <c r="B28" s="192"/>
      <c r="C28" s="192"/>
      <c r="D28" s="192"/>
      <c r="E28" s="192"/>
      <c r="F28" s="219">
        <f>F26-F27</f>
        <v>1.1888945441303251</v>
      </c>
      <c r="G28" s="222">
        <f t="shared" ref="G28:BK28" si="487">G26-G27</f>
        <v>1.2082140804724428</v>
      </c>
      <c r="H28" s="222">
        <f t="shared" si="487"/>
        <v>1.2278475592801201</v>
      </c>
      <c r="I28" s="222">
        <f t="shared" si="487"/>
        <v>1.2478000821184221</v>
      </c>
      <c r="J28" s="222">
        <f t="shared" si="487"/>
        <v>1.2680768334528465</v>
      </c>
      <c r="K28" s="222">
        <f t="shared" si="487"/>
        <v>1.2886830819964552</v>
      </c>
      <c r="L28" s="222">
        <f t="shared" si="487"/>
        <v>1.3096241820788976</v>
      </c>
      <c r="M28" s="222">
        <f t="shared" si="487"/>
        <v>1.3309055750376797</v>
      </c>
      <c r="N28" s="222">
        <f t="shared" si="487"/>
        <v>1.3525327906320419</v>
      </c>
      <c r="O28" s="222">
        <f t="shared" si="487"/>
        <v>1.3745114484798127</v>
      </c>
      <c r="P28" s="222">
        <f t="shared" si="487"/>
        <v>1.3968472595176096</v>
      </c>
      <c r="Q28" s="222">
        <f t="shared" si="487"/>
        <v>1.4195460274847709</v>
      </c>
      <c r="R28" s="222">
        <f t="shared" si="487"/>
        <v>1.4426136504313982</v>
      </c>
      <c r="S28" s="222">
        <f t="shared" si="487"/>
        <v>1.4660561222509085</v>
      </c>
      <c r="T28" s="222">
        <f t="shared" si="487"/>
        <v>1.4898795342374858</v>
      </c>
      <c r="U28" s="222">
        <f t="shared" si="487"/>
        <v>1.514090076668845</v>
      </c>
      <c r="V28" s="222">
        <f t="shared" si="487"/>
        <v>1.5386940404147136</v>
      </c>
      <c r="W28" s="222">
        <f t="shared" si="487"/>
        <v>1.5636978185714527</v>
      </c>
      <c r="X28" s="222">
        <f t="shared" si="487"/>
        <v>1.5891079081232389</v>
      </c>
      <c r="Y28" s="222">
        <f t="shared" si="487"/>
        <v>0</v>
      </c>
      <c r="Z28" s="222">
        <f t="shared" si="487"/>
        <v>0</v>
      </c>
      <c r="AA28" s="222">
        <f t="shared" si="487"/>
        <v>0</v>
      </c>
      <c r="AB28" s="222">
        <f t="shared" si="487"/>
        <v>0</v>
      </c>
      <c r="AC28" s="222">
        <f t="shared" si="487"/>
        <v>0</v>
      </c>
      <c r="AD28" s="222">
        <f t="shared" si="487"/>
        <v>0</v>
      </c>
      <c r="AE28" s="222">
        <f t="shared" si="487"/>
        <v>0</v>
      </c>
      <c r="AF28" s="222">
        <f t="shared" si="487"/>
        <v>0</v>
      </c>
      <c r="AG28" s="222">
        <f t="shared" si="487"/>
        <v>0</v>
      </c>
      <c r="AH28" s="222">
        <f t="shared" si="487"/>
        <v>0</v>
      </c>
      <c r="AI28" s="222">
        <f t="shared" si="487"/>
        <v>0</v>
      </c>
      <c r="AJ28" s="222">
        <f t="shared" si="487"/>
        <v>0</v>
      </c>
      <c r="AK28" s="222">
        <f t="shared" si="487"/>
        <v>0</v>
      </c>
      <c r="AL28" s="222">
        <f t="shared" si="487"/>
        <v>0</v>
      </c>
      <c r="AM28" s="222">
        <f t="shared" si="487"/>
        <v>0</v>
      </c>
      <c r="AN28" s="222">
        <f t="shared" si="487"/>
        <v>0</v>
      </c>
      <c r="AO28" s="222">
        <f t="shared" si="487"/>
        <v>0</v>
      </c>
      <c r="AP28" s="222">
        <f t="shared" si="487"/>
        <v>0</v>
      </c>
      <c r="AQ28" s="222">
        <f t="shared" si="487"/>
        <v>0</v>
      </c>
      <c r="AR28" s="222">
        <f t="shared" si="487"/>
        <v>0</v>
      </c>
      <c r="AS28" s="222">
        <f t="shared" si="487"/>
        <v>0</v>
      </c>
      <c r="AT28" s="222">
        <f t="shared" si="487"/>
        <v>0</v>
      </c>
      <c r="AU28" s="222">
        <f t="shared" si="487"/>
        <v>0</v>
      </c>
      <c r="AV28" s="222">
        <f t="shared" si="487"/>
        <v>0</v>
      </c>
      <c r="AW28" s="222">
        <f t="shared" si="487"/>
        <v>0</v>
      </c>
      <c r="AX28" s="222">
        <f t="shared" si="487"/>
        <v>0</v>
      </c>
      <c r="AY28" s="222">
        <f t="shared" si="487"/>
        <v>0</v>
      </c>
      <c r="AZ28" s="222">
        <f t="shared" si="487"/>
        <v>0</v>
      </c>
      <c r="BA28" s="222">
        <f t="shared" si="487"/>
        <v>0</v>
      </c>
      <c r="BB28" s="222">
        <f t="shared" si="487"/>
        <v>0</v>
      </c>
      <c r="BC28" s="222">
        <f t="shared" si="487"/>
        <v>0</v>
      </c>
      <c r="BD28" s="222">
        <f t="shared" si="487"/>
        <v>0</v>
      </c>
      <c r="BE28" s="222">
        <f t="shared" si="487"/>
        <v>0</v>
      </c>
      <c r="BF28" s="222">
        <f t="shared" si="487"/>
        <v>0</v>
      </c>
      <c r="BG28" s="222">
        <f t="shared" si="487"/>
        <v>0</v>
      </c>
      <c r="BH28" s="222">
        <f t="shared" si="487"/>
        <v>0</v>
      </c>
      <c r="BI28" s="222">
        <f t="shared" si="487"/>
        <v>0</v>
      </c>
      <c r="BJ28" s="222">
        <f t="shared" si="487"/>
        <v>0</v>
      </c>
      <c r="BK28" s="222">
        <f t="shared" si="487"/>
        <v>0</v>
      </c>
    </row>
    <row r="29" spans="1:63" ht="7.8" x14ac:dyDescent="0.15">
      <c r="A29" s="205" t="s">
        <v>7</v>
      </c>
      <c r="B29" s="192"/>
      <c r="C29" s="192"/>
      <c r="D29" s="192"/>
      <c r="E29" s="192"/>
      <c r="F29" s="214" cm="1">
        <f t="array" ref="F29">INDEX(LoanOriginations,$A24)</f>
        <v>101.00249999999997</v>
      </c>
      <c r="G29" s="199">
        <f t="shared" ref="G29:AL29" si="488">F29*(1-MitigateDelinquency*MitigateChargeoff)  *  IF(G24=0,0,IF(G24-102=LoanSaleHeld,0.6,1))</f>
        <v>100.90149749999996</v>
      </c>
      <c r="H29" s="199">
        <f t="shared" si="488"/>
        <v>100.80059600249996</v>
      </c>
      <c r="I29" s="199">
        <f t="shared" si="488"/>
        <v>100.69979540649746</v>
      </c>
      <c r="J29" s="199">
        <f t="shared" si="488"/>
        <v>60.359457366654574</v>
      </c>
      <c r="K29" s="199">
        <f t="shared" si="488"/>
        <v>60.299097909287923</v>
      </c>
      <c r="L29" s="199">
        <f t="shared" si="488"/>
        <v>60.238798811378636</v>
      </c>
      <c r="M29" s="199">
        <f t="shared" si="488"/>
        <v>60.17856001256726</v>
      </c>
      <c r="N29" s="199">
        <f t="shared" si="488"/>
        <v>60.118381452554694</v>
      </c>
      <c r="O29" s="199">
        <f t="shared" si="488"/>
        <v>60.058263071102139</v>
      </c>
      <c r="P29" s="199">
        <f t="shared" si="488"/>
        <v>59.998204808031041</v>
      </c>
      <c r="Q29" s="199">
        <f t="shared" si="488"/>
        <v>59.938206603223009</v>
      </c>
      <c r="R29" s="199">
        <f t="shared" si="488"/>
        <v>59.878268396619788</v>
      </c>
      <c r="S29" s="199">
        <f t="shared" si="488"/>
        <v>59.818390128223172</v>
      </c>
      <c r="T29" s="199">
        <f t="shared" si="488"/>
        <v>59.75857173809495</v>
      </c>
      <c r="U29" s="199">
        <f t="shared" si="488"/>
        <v>59.698813166356857</v>
      </c>
      <c r="V29" s="199">
        <f t="shared" si="488"/>
        <v>59.6391143531905</v>
      </c>
      <c r="W29" s="199">
        <f t="shared" si="488"/>
        <v>59.579475238837311</v>
      </c>
      <c r="X29" s="199">
        <f t="shared" si="488"/>
        <v>59.519895763598477</v>
      </c>
      <c r="Y29" s="199">
        <f t="shared" si="488"/>
        <v>0</v>
      </c>
      <c r="Z29" s="199">
        <f t="shared" si="488"/>
        <v>0</v>
      </c>
      <c r="AA29" s="199">
        <f t="shared" si="488"/>
        <v>0</v>
      </c>
      <c r="AB29" s="199">
        <f t="shared" si="488"/>
        <v>0</v>
      </c>
      <c r="AC29" s="199">
        <f t="shared" si="488"/>
        <v>0</v>
      </c>
      <c r="AD29" s="199">
        <f t="shared" si="488"/>
        <v>0</v>
      </c>
      <c r="AE29" s="199">
        <f t="shared" si="488"/>
        <v>0</v>
      </c>
      <c r="AF29" s="199">
        <f t="shared" si="488"/>
        <v>0</v>
      </c>
      <c r="AG29" s="199">
        <f t="shared" si="488"/>
        <v>0</v>
      </c>
      <c r="AH29" s="199">
        <f t="shared" si="488"/>
        <v>0</v>
      </c>
      <c r="AI29" s="199">
        <f t="shared" si="488"/>
        <v>0</v>
      </c>
      <c r="AJ29" s="199">
        <f t="shared" si="488"/>
        <v>0</v>
      </c>
      <c r="AK29" s="199">
        <f t="shared" si="488"/>
        <v>0</v>
      </c>
      <c r="AL29" s="199">
        <f t="shared" si="488"/>
        <v>0</v>
      </c>
      <c r="AM29" s="199">
        <f t="shared" ref="AM29:BK29" si="489">AL29*(1-MitigateDelinquency*MitigateChargeoff)  *  IF(AM24=0,0,IF(AM24-102=LoanSaleHeld,0.6,1))</f>
        <v>0</v>
      </c>
      <c r="AN29" s="199">
        <f t="shared" si="489"/>
        <v>0</v>
      </c>
      <c r="AO29" s="199">
        <f t="shared" si="489"/>
        <v>0</v>
      </c>
      <c r="AP29" s="199">
        <f t="shared" si="489"/>
        <v>0</v>
      </c>
      <c r="AQ29" s="199">
        <f t="shared" si="489"/>
        <v>0</v>
      </c>
      <c r="AR29" s="199">
        <f t="shared" si="489"/>
        <v>0</v>
      </c>
      <c r="AS29" s="199">
        <f t="shared" si="489"/>
        <v>0</v>
      </c>
      <c r="AT29" s="199">
        <f t="shared" si="489"/>
        <v>0</v>
      </c>
      <c r="AU29" s="199">
        <f t="shared" si="489"/>
        <v>0</v>
      </c>
      <c r="AV29" s="199">
        <f t="shared" si="489"/>
        <v>0</v>
      </c>
      <c r="AW29" s="199">
        <f t="shared" si="489"/>
        <v>0</v>
      </c>
      <c r="AX29" s="199">
        <f t="shared" si="489"/>
        <v>0</v>
      </c>
      <c r="AY29" s="199">
        <f t="shared" si="489"/>
        <v>0</v>
      </c>
      <c r="AZ29" s="199">
        <f t="shared" si="489"/>
        <v>0</v>
      </c>
      <c r="BA29" s="199">
        <f t="shared" si="489"/>
        <v>0</v>
      </c>
      <c r="BB29" s="199">
        <f t="shared" si="489"/>
        <v>0</v>
      </c>
      <c r="BC29" s="199">
        <f t="shared" si="489"/>
        <v>0</v>
      </c>
      <c r="BD29" s="199">
        <f t="shared" si="489"/>
        <v>0</v>
      </c>
      <c r="BE29" s="199">
        <f t="shared" si="489"/>
        <v>0</v>
      </c>
      <c r="BF29" s="199">
        <f t="shared" si="489"/>
        <v>0</v>
      </c>
      <c r="BG29" s="199">
        <f t="shared" si="489"/>
        <v>0</v>
      </c>
      <c r="BH29" s="199">
        <f t="shared" si="489"/>
        <v>0</v>
      </c>
      <c r="BI29" s="199">
        <f t="shared" si="489"/>
        <v>0</v>
      </c>
      <c r="BJ29" s="199">
        <f t="shared" si="489"/>
        <v>0</v>
      </c>
      <c r="BK29" s="199">
        <f t="shared" si="489"/>
        <v>0</v>
      </c>
    </row>
    <row r="30" spans="1:63" ht="7.8" x14ac:dyDescent="0.15">
      <c r="A30" s="207" t="s">
        <v>96</v>
      </c>
      <c r="B30" s="192"/>
      <c r="C30" s="192"/>
      <c r="D30" s="192"/>
      <c r="E30" s="192"/>
      <c r="F30" s="223">
        <f>F27*F29</f>
        <v>41.032265624999987</v>
      </c>
      <c r="G30" s="200">
        <f t="shared" ref="G30" si="490">G27*G29</f>
        <v>39.04186321144963</v>
      </c>
      <c r="H30" s="200">
        <f t="shared" ref="H30" si="491">H27*H29</f>
        <v>37.02375498282187</v>
      </c>
      <c r="I30" s="200">
        <f t="shared" ref="I30" si="492">I27*I29</f>
        <v>34.977516260178568</v>
      </c>
      <c r="J30" s="200">
        <f t="shared" ref="J30" si="493">J27*J29</f>
        <v>19.741629538646588</v>
      </c>
      <c r="K30" s="200">
        <f t="shared" ref="K30" si="494">K27*K29</f>
        <v>18.479349710633759</v>
      </c>
      <c r="L30" s="200">
        <f t="shared" ref="L30" si="495">L27*L29</f>
        <v>17.199403646167934</v>
      </c>
      <c r="M30" s="200">
        <f t="shared" ref="M30" si="496">M27*M29</f>
        <v>15.901520659200669</v>
      </c>
      <c r="N30" s="200">
        <f t="shared" ref="N30" si="497">N27*N29</f>
        <v>14.585425941682956</v>
      </c>
      <c r="O30" s="200">
        <f t="shared" ref="O30" si="498">O27*O29</f>
        <v>13.250840500770119</v>
      </c>
      <c r="P30" s="200">
        <f t="shared" ref="P30" si="499">P27*P29</f>
        <v>11.897481095070127</v>
      </c>
      <c r="Q30" s="200">
        <f t="shared" ref="Q30" si="500">Q27*Q29</f>
        <v>10.52506016992073</v>
      </c>
      <c r="R30" s="200">
        <f t="shared" ref="R30" si="501">R27*R29</f>
        <v>9.1332857916806223</v>
      </c>
      <c r="S30" s="200">
        <f t="shared" ref="S30" si="502">S27*S29</f>
        <v>7.7218615810196019</v>
      </c>
      <c r="T30" s="200">
        <f t="shared" ref="T30" si="503">T27*T29</f>
        <v>6.2904866451925141</v>
      </c>
      <c r="U30" s="200">
        <f t="shared" ref="U30" si="504">U27*U29</f>
        <v>4.8388555092814576</v>
      </c>
      <c r="V30" s="200">
        <f t="shared" ref="V30" si="505">V27*V29</f>
        <v>3.3666580463905573</v>
      </c>
      <c r="W30" s="200">
        <f t="shared" ref="W30" si="506">W27*W29</f>
        <v>1.8735794067773486</v>
      </c>
      <c r="X30" s="200">
        <f t="shared" ref="X30" si="507">X27*X29</f>
        <v>0.35929994590455944</v>
      </c>
      <c r="Y30" s="200">
        <f t="shared" ref="Y30" si="508">Y27*Y29</f>
        <v>0</v>
      </c>
      <c r="Z30" s="200">
        <f t="shared" ref="Z30" si="509">Z27*Z29</f>
        <v>0</v>
      </c>
      <c r="AA30" s="200">
        <f t="shared" ref="AA30" si="510">AA27*AA29</f>
        <v>0</v>
      </c>
      <c r="AB30" s="200">
        <f t="shared" ref="AB30" si="511">AB27*AB29</f>
        <v>0</v>
      </c>
      <c r="AC30" s="200">
        <f t="shared" ref="AC30" si="512">AC27*AC29</f>
        <v>0</v>
      </c>
      <c r="AD30" s="200">
        <f t="shared" ref="AD30" si="513">AD27*AD29</f>
        <v>0</v>
      </c>
      <c r="AE30" s="200">
        <f t="shared" ref="AE30" si="514">AE27*AE29</f>
        <v>0</v>
      </c>
      <c r="AF30" s="200">
        <f t="shared" ref="AF30" si="515">AF27*AF29</f>
        <v>0</v>
      </c>
      <c r="AG30" s="200">
        <f t="shared" ref="AG30" si="516">AG27*AG29</f>
        <v>0</v>
      </c>
      <c r="AH30" s="200">
        <f t="shared" ref="AH30" si="517">AH27*AH29</f>
        <v>0</v>
      </c>
      <c r="AI30" s="200">
        <f t="shared" ref="AI30" si="518">AI27*AI29</f>
        <v>0</v>
      </c>
      <c r="AJ30" s="200">
        <f t="shared" ref="AJ30" si="519">AJ27*AJ29</f>
        <v>0</v>
      </c>
      <c r="AK30" s="200">
        <f t="shared" ref="AK30" si="520">AK27*AK29</f>
        <v>0</v>
      </c>
      <c r="AL30" s="200">
        <f t="shared" ref="AL30" si="521">AL27*AL29</f>
        <v>0</v>
      </c>
      <c r="AM30" s="200">
        <f t="shared" ref="AM30" si="522">AM27*AM29</f>
        <v>0</v>
      </c>
      <c r="AN30" s="200">
        <f t="shared" ref="AN30" si="523">AN27*AN29</f>
        <v>0</v>
      </c>
      <c r="AO30" s="200">
        <f t="shared" ref="AO30" si="524">AO27*AO29</f>
        <v>0</v>
      </c>
      <c r="AP30" s="200">
        <f t="shared" ref="AP30" si="525">AP27*AP29</f>
        <v>0</v>
      </c>
      <c r="AQ30" s="200">
        <f t="shared" ref="AQ30" si="526">AQ27*AQ29</f>
        <v>0</v>
      </c>
      <c r="AR30" s="200">
        <f t="shared" ref="AR30" si="527">AR27*AR29</f>
        <v>0</v>
      </c>
      <c r="AS30" s="200">
        <f t="shared" ref="AS30" si="528">AS27*AS29</f>
        <v>0</v>
      </c>
      <c r="AT30" s="200">
        <f t="shared" ref="AT30" si="529">AT27*AT29</f>
        <v>0</v>
      </c>
      <c r="AU30" s="200">
        <f t="shared" ref="AU30" si="530">AU27*AU29</f>
        <v>0</v>
      </c>
      <c r="AV30" s="200">
        <f t="shared" ref="AV30" si="531">AV27*AV29</f>
        <v>0</v>
      </c>
      <c r="AW30" s="200">
        <f t="shared" ref="AW30" si="532">AW27*AW29</f>
        <v>0</v>
      </c>
      <c r="AX30" s="200">
        <f t="shared" ref="AX30" si="533">AX27*AX29</f>
        <v>0</v>
      </c>
      <c r="AY30" s="200">
        <f t="shared" ref="AY30" si="534">AY27*AY29</f>
        <v>0</v>
      </c>
      <c r="AZ30" s="200">
        <f t="shared" ref="AZ30" si="535">AZ27*AZ29</f>
        <v>0</v>
      </c>
      <c r="BA30" s="200">
        <f t="shared" ref="BA30" si="536">BA27*BA29</f>
        <v>0</v>
      </c>
      <c r="BB30" s="200">
        <f t="shared" ref="BB30" si="537">BB27*BB29</f>
        <v>0</v>
      </c>
      <c r="BC30" s="200">
        <f t="shared" ref="BC30" si="538">BC27*BC29</f>
        <v>0</v>
      </c>
      <c r="BD30" s="200">
        <f t="shared" ref="BD30" si="539">BD27*BD29</f>
        <v>0</v>
      </c>
      <c r="BE30" s="200">
        <f t="shared" ref="BE30" si="540">BE27*BE29</f>
        <v>0</v>
      </c>
      <c r="BF30" s="200">
        <f t="shared" ref="BF30" si="541">BF27*BF29</f>
        <v>0</v>
      </c>
      <c r="BG30" s="200">
        <f t="shared" ref="BG30" si="542">BG27*BG29</f>
        <v>0</v>
      </c>
      <c r="BH30" s="200">
        <f t="shared" ref="BH30" si="543">BH27*BH29</f>
        <v>0</v>
      </c>
      <c r="BI30" s="200">
        <f t="shared" ref="BI30" si="544">BI27*BI29</f>
        <v>0</v>
      </c>
      <c r="BJ30" s="200">
        <f t="shared" ref="BJ30" si="545">BJ27*BJ29</f>
        <v>0</v>
      </c>
      <c r="BK30" s="200">
        <f t="shared" ref="BK30" si="546">BK27*BK29</f>
        <v>0</v>
      </c>
    </row>
    <row r="31" spans="1:63" ht="7.8" x14ac:dyDescent="0.15">
      <c r="A31" s="206" t="s">
        <v>97</v>
      </c>
      <c r="B31" s="192"/>
      <c r="C31" s="192"/>
      <c r="D31" s="192"/>
      <c r="E31" s="192"/>
      <c r="F31" s="223">
        <f>F28*F29</f>
        <v>120.08132119352312</v>
      </c>
      <c r="G31" s="200">
        <f>G28*G29</f>
        <v>121.91061002025495</v>
      </c>
      <c r="H31" s="200">
        <f t="shared" ref="H31:BK31" si="547">H28*H29</f>
        <v>123.767765775651</v>
      </c>
      <c r="I31" s="200">
        <f t="shared" si="547"/>
        <v>125.65321297753583</v>
      </c>
      <c r="J31" s="200">
        <f t="shared" si="547"/>
        <v>76.540429566439414</v>
      </c>
      <c r="K31" s="200">
        <f t="shared" si="547"/>
        <v>77.706427335347172</v>
      </c>
      <c r="L31" s="200">
        <f t="shared" si="547"/>
        <v>78.890187622767016</v>
      </c>
      <c r="M31" s="200">
        <f t="shared" si="547"/>
        <v>80.091981018465347</v>
      </c>
      <c r="N31" s="200">
        <f t="shared" si="547"/>
        <v>81.312082234305393</v>
      </c>
      <c r="O31" s="200">
        <f t="shared" si="547"/>
        <v>82.550770167042245</v>
      </c>
      <c r="P31" s="200">
        <f t="shared" si="547"/>
        <v>83.808327962074429</v>
      </c>
      <c r="Q31" s="200">
        <f t="shared" si="547"/>
        <v>85.085043078166677</v>
      </c>
      <c r="R31" s="200">
        <f t="shared" si="547"/>
        <v>86.3812073531587</v>
      </c>
      <c r="S31" s="200">
        <f t="shared" si="547"/>
        <v>87.697117070674892</v>
      </c>
      <c r="T31" s="200">
        <f t="shared" si="547"/>
        <v>89.033073027850278</v>
      </c>
      <c r="U31" s="200">
        <f t="shared" si="547"/>
        <v>90.389380604088302</v>
      </c>
      <c r="V31" s="200">
        <f t="shared" si="547"/>
        <v>91.766349830865835</v>
      </c>
      <c r="W31" s="200">
        <f t="shared" si="547"/>
        <v>93.164295462601785</v>
      </c>
      <c r="X31" s="200">
        <f t="shared" si="547"/>
        <v>94.583537048605208</v>
      </c>
      <c r="Y31" s="200">
        <f t="shared" si="547"/>
        <v>0</v>
      </c>
      <c r="Z31" s="200">
        <f t="shared" si="547"/>
        <v>0</v>
      </c>
      <c r="AA31" s="200">
        <f t="shared" si="547"/>
        <v>0</v>
      </c>
      <c r="AB31" s="200">
        <f t="shared" si="547"/>
        <v>0</v>
      </c>
      <c r="AC31" s="200">
        <f t="shared" si="547"/>
        <v>0</v>
      </c>
      <c r="AD31" s="200">
        <f t="shared" si="547"/>
        <v>0</v>
      </c>
      <c r="AE31" s="200">
        <f t="shared" si="547"/>
        <v>0</v>
      </c>
      <c r="AF31" s="200">
        <f t="shared" si="547"/>
        <v>0</v>
      </c>
      <c r="AG31" s="200">
        <f t="shared" si="547"/>
        <v>0</v>
      </c>
      <c r="AH31" s="200">
        <f t="shared" si="547"/>
        <v>0</v>
      </c>
      <c r="AI31" s="200">
        <f t="shared" si="547"/>
        <v>0</v>
      </c>
      <c r="AJ31" s="200">
        <f t="shared" si="547"/>
        <v>0</v>
      </c>
      <c r="AK31" s="200">
        <f t="shared" si="547"/>
        <v>0</v>
      </c>
      <c r="AL31" s="200">
        <f t="shared" si="547"/>
        <v>0</v>
      </c>
      <c r="AM31" s="200">
        <f t="shared" si="547"/>
        <v>0</v>
      </c>
      <c r="AN31" s="200">
        <f t="shared" si="547"/>
        <v>0</v>
      </c>
      <c r="AO31" s="200">
        <f t="shared" si="547"/>
        <v>0</v>
      </c>
      <c r="AP31" s="200">
        <f t="shared" si="547"/>
        <v>0</v>
      </c>
      <c r="AQ31" s="200">
        <f t="shared" si="547"/>
        <v>0</v>
      </c>
      <c r="AR31" s="200">
        <f t="shared" si="547"/>
        <v>0</v>
      </c>
      <c r="AS31" s="200">
        <f t="shared" si="547"/>
        <v>0</v>
      </c>
      <c r="AT31" s="200">
        <f t="shared" si="547"/>
        <v>0</v>
      </c>
      <c r="AU31" s="200">
        <f t="shared" si="547"/>
        <v>0</v>
      </c>
      <c r="AV31" s="200">
        <f t="shared" si="547"/>
        <v>0</v>
      </c>
      <c r="AW31" s="200">
        <f t="shared" si="547"/>
        <v>0</v>
      </c>
      <c r="AX31" s="200">
        <f t="shared" si="547"/>
        <v>0</v>
      </c>
      <c r="AY31" s="200">
        <f t="shared" si="547"/>
        <v>0</v>
      </c>
      <c r="AZ31" s="200">
        <f t="shared" si="547"/>
        <v>0</v>
      </c>
      <c r="BA31" s="200">
        <f t="shared" si="547"/>
        <v>0</v>
      </c>
      <c r="BB31" s="200">
        <f t="shared" si="547"/>
        <v>0</v>
      </c>
      <c r="BC31" s="200">
        <f t="shared" si="547"/>
        <v>0</v>
      </c>
      <c r="BD31" s="200">
        <f t="shared" si="547"/>
        <v>0</v>
      </c>
      <c r="BE31" s="200">
        <f t="shared" si="547"/>
        <v>0</v>
      </c>
      <c r="BF31" s="200">
        <f t="shared" si="547"/>
        <v>0</v>
      </c>
      <c r="BG31" s="200">
        <f t="shared" si="547"/>
        <v>0</v>
      </c>
      <c r="BH31" s="200">
        <f t="shared" si="547"/>
        <v>0</v>
      </c>
      <c r="BI31" s="200">
        <f t="shared" si="547"/>
        <v>0</v>
      </c>
      <c r="BJ31" s="200">
        <f t="shared" si="547"/>
        <v>0</v>
      </c>
      <c r="BK31" s="200">
        <f t="shared" si="547"/>
        <v>0</v>
      </c>
    </row>
    <row r="32" spans="1:63" ht="7.8" x14ac:dyDescent="0.15">
      <c r="A32" s="208" t="s">
        <v>203</v>
      </c>
      <c r="B32" s="192"/>
      <c r="C32" s="192"/>
      <c r="D32" s="192"/>
      <c r="E32" s="192"/>
      <c r="F32" s="224">
        <f>IF(F24-101&lt;&gt;LoanSaleHeld,0,SUM($D31:F31)*LoanSalePercent)</f>
        <v>0</v>
      </c>
      <c r="G32" s="225">
        <f>IF(G24-101&lt;&gt;LoanSaleHeld,0,SUM($D31:G31)*LoanSalePercent)</f>
        <v>0</v>
      </c>
      <c r="H32" s="225">
        <f>IF(H24-101&lt;&gt;LoanSaleHeld,0,SUM($D31:H31)*LoanSalePercent)</f>
        <v>0</v>
      </c>
      <c r="I32" s="225">
        <f>IF(I24-101&lt;&gt;LoanSaleHeld,0,SUM($D31:I31)*LoanSalePercent)</f>
        <v>196.56516398678596</v>
      </c>
      <c r="J32" s="225">
        <f>IF(J24-101&lt;&gt;LoanSaleHeld,0,SUM($D31:J31)*LoanSalePercent)</f>
        <v>0</v>
      </c>
      <c r="K32" s="225">
        <f>IF(K24-101&lt;&gt;LoanSaleHeld,0,SUM($D31:K31)*LoanSalePercent)</f>
        <v>0</v>
      </c>
      <c r="L32" s="225">
        <f>IF(L24-101&lt;&gt;LoanSaleHeld,0,SUM($D31:L31)*LoanSalePercent)</f>
        <v>0</v>
      </c>
      <c r="M32" s="225">
        <f>IF(M24-101&lt;&gt;LoanSaleHeld,0,SUM($D31:M31)*LoanSalePercent)</f>
        <v>0</v>
      </c>
      <c r="N32" s="225">
        <f>IF(N24-101&lt;&gt;LoanSaleHeld,0,SUM($D31:N31)*LoanSalePercent)</f>
        <v>0</v>
      </c>
      <c r="O32" s="225">
        <f>IF(O24-101&lt;&gt;LoanSaleHeld,0,SUM($D31:O31)*LoanSalePercent)</f>
        <v>0</v>
      </c>
      <c r="P32" s="225">
        <f>IF(P24-101&lt;&gt;LoanSaleHeld,0,SUM($D31:P31)*LoanSalePercent)</f>
        <v>0</v>
      </c>
      <c r="Q32" s="225">
        <f>IF(Q24-101&lt;&gt;LoanSaleHeld,0,SUM($D31:Q31)*LoanSalePercent)</f>
        <v>0</v>
      </c>
      <c r="R32" s="225">
        <f>IF(R24-101&lt;&gt;LoanSaleHeld,0,SUM($D31:R31)*LoanSalePercent)</f>
        <v>0</v>
      </c>
      <c r="S32" s="225">
        <f>IF(S24-101&lt;&gt;LoanSaleHeld,0,SUM($D31:S31)*LoanSalePercent)</f>
        <v>0</v>
      </c>
      <c r="T32" s="225">
        <f>IF(T24-101&lt;&gt;LoanSaleHeld,0,SUM($D31:T31)*LoanSalePercent)</f>
        <v>0</v>
      </c>
      <c r="U32" s="225">
        <f>IF(U24-101&lt;&gt;LoanSaleHeld,0,SUM($D31:U31)*LoanSalePercent)</f>
        <v>0</v>
      </c>
      <c r="V32" s="225">
        <f>IF(V24-101&lt;&gt;LoanSaleHeld,0,SUM($D31:V31)*LoanSalePercent)</f>
        <v>0</v>
      </c>
      <c r="W32" s="225">
        <f>IF(W24-101&lt;&gt;LoanSaleHeld,0,SUM($D31:W31)*LoanSalePercent)</f>
        <v>0</v>
      </c>
      <c r="X32" s="225">
        <f>IF(X24-101&lt;&gt;LoanSaleHeld,0,SUM($D31:X31)*LoanSalePercent)</f>
        <v>0</v>
      </c>
      <c r="Y32" s="225">
        <f>IF(Y24-101&lt;&gt;LoanSaleHeld,0,SUM($D31:Y31)*LoanSalePercent)</f>
        <v>0</v>
      </c>
      <c r="Z32" s="225">
        <f>IF(Z24-101&lt;&gt;LoanSaleHeld,0,SUM($D31:Z31)*LoanSalePercent)</f>
        <v>0</v>
      </c>
      <c r="AA32" s="225">
        <f>IF(AA24-101&lt;&gt;LoanSaleHeld,0,SUM($D31:AA31)*LoanSalePercent)</f>
        <v>0</v>
      </c>
      <c r="AB32" s="225">
        <f>IF(AB24-101&lt;&gt;LoanSaleHeld,0,SUM($D31:AB31)*LoanSalePercent)</f>
        <v>0</v>
      </c>
      <c r="AC32" s="225">
        <f>IF(AC24-101&lt;&gt;LoanSaleHeld,0,SUM($D31:AC31)*LoanSalePercent)</f>
        <v>0</v>
      </c>
      <c r="AD32" s="225">
        <f>IF(AD24-101&lt;&gt;LoanSaleHeld,0,SUM($D31:AD31)*LoanSalePercent)</f>
        <v>0</v>
      </c>
      <c r="AE32" s="225">
        <f>IF(AE24-101&lt;&gt;LoanSaleHeld,0,SUM($D31:AE31)*LoanSalePercent)</f>
        <v>0</v>
      </c>
      <c r="AF32" s="225">
        <f>IF(AF24-101&lt;&gt;LoanSaleHeld,0,SUM($D31:AF31)*LoanSalePercent)</f>
        <v>0</v>
      </c>
      <c r="AG32" s="225">
        <f>IF(AG24-101&lt;&gt;LoanSaleHeld,0,SUM($D31:AG31)*LoanSalePercent)</f>
        <v>0</v>
      </c>
      <c r="AH32" s="225">
        <f>IF(AH24-101&lt;&gt;LoanSaleHeld,0,SUM($D31:AH31)*LoanSalePercent)</f>
        <v>0</v>
      </c>
      <c r="AI32" s="225">
        <f>IF(AI24-101&lt;&gt;LoanSaleHeld,0,SUM($D31:AI31)*LoanSalePercent)</f>
        <v>0</v>
      </c>
      <c r="AJ32" s="225">
        <f>IF(AJ24-101&lt;&gt;LoanSaleHeld,0,SUM($D31:AJ31)*LoanSalePercent)</f>
        <v>0</v>
      </c>
      <c r="AK32" s="225">
        <f>IF(AK24-101&lt;&gt;LoanSaleHeld,0,SUM($D31:AK31)*LoanSalePercent)</f>
        <v>0</v>
      </c>
      <c r="AL32" s="225">
        <f>IF(AL24-101&lt;&gt;LoanSaleHeld,0,SUM($D31:AL31)*LoanSalePercent)</f>
        <v>0</v>
      </c>
      <c r="AM32" s="225">
        <f>IF(AM24-101&lt;&gt;LoanSaleHeld,0,SUM($D31:AM31)*LoanSalePercent)</f>
        <v>0</v>
      </c>
      <c r="AN32" s="225">
        <f>IF(AN24-101&lt;&gt;LoanSaleHeld,0,SUM($D31:AN31)*LoanSalePercent)</f>
        <v>0</v>
      </c>
      <c r="AO32" s="225">
        <f>IF(AO24-101&lt;&gt;LoanSaleHeld,0,SUM($D31:AO31)*LoanSalePercent)</f>
        <v>0</v>
      </c>
      <c r="AP32" s="225">
        <f>IF(AP24-101&lt;&gt;LoanSaleHeld,0,SUM($D31:AP31)*LoanSalePercent)</f>
        <v>0</v>
      </c>
      <c r="AQ32" s="225">
        <f>IF(AQ24-101&lt;&gt;LoanSaleHeld,0,SUM($D31:AQ31)*LoanSalePercent)</f>
        <v>0</v>
      </c>
      <c r="AR32" s="225">
        <f>IF(AR24-101&lt;&gt;LoanSaleHeld,0,SUM($D31:AR31)*LoanSalePercent)</f>
        <v>0</v>
      </c>
      <c r="AS32" s="225">
        <f>IF(AS24-101&lt;&gt;LoanSaleHeld,0,SUM($D31:AS31)*LoanSalePercent)</f>
        <v>0</v>
      </c>
      <c r="AT32" s="225">
        <f>IF(AT24-101&lt;&gt;LoanSaleHeld,0,SUM($D31:AT31)*LoanSalePercent)</f>
        <v>0</v>
      </c>
      <c r="AU32" s="225">
        <f>IF(AU24-101&lt;&gt;LoanSaleHeld,0,SUM($D31:AU31)*LoanSalePercent)</f>
        <v>0</v>
      </c>
      <c r="AV32" s="225">
        <f>IF(AV24-101&lt;&gt;LoanSaleHeld,0,SUM($D31:AV31)*LoanSalePercent)</f>
        <v>0</v>
      </c>
      <c r="AW32" s="225">
        <f>IF(AW24-101&lt;&gt;LoanSaleHeld,0,SUM($D31:AW31)*LoanSalePercent)</f>
        <v>0</v>
      </c>
      <c r="AX32" s="225">
        <f>IF(AX24-101&lt;&gt;LoanSaleHeld,0,SUM($D31:AX31)*LoanSalePercent)</f>
        <v>0</v>
      </c>
      <c r="AY32" s="225">
        <f>IF(AY24-101&lt;&gt;LoanSaleHeld,0,SUM($D31:AY31)*LoanSalePercent)</f>
        <v>0</v>
      </c>
      <c r="AZ32" s="225">
        <f>IF(AZ24-101&lt;&gt;LoanSaleHeld,0,SUM($D31:AZ31)*LoanSalePercent)</f>
        <v>0</v>
      </c>
      <c r="BA32" s="225">
        <f>IF(BA24-101&lt;&gt;LoanSaleHeld,0,SUM($D31:BA31)*LoanSalePercent)</f>
        <v>0</v>
      </c>
      <c r="BB32" s="225">
        <f>IF(BB24-101&lt;&gt;LoanSaleHeld,0,SUM($D31:BB31)*LoanSalePercent)</f>
        <v>0</v>
      </c>
      <c r="BC32" s="225">
        <f>IF(BC24-101&lt;&gt;LoanSaleHeld,0,SUM($D31:BC31)*LoanSalePercent)</f>
        <v>0</v>
      </c>
      <c r="BD32" s="225">
        <f>IF(BD24-101&lt;&gt;LoanSaleHeld,0,SUM($D31:BD31)*LoanSalePercent)</f>
        <v>0</v>
      </c>
      <c r="BE32" s="225">
        <f>IF(BE24-101&lt;&gt;LoanSaleHeld,0,SUM($D31:BE31)*LoanSalePercent)</f>
        <v>0</v>
      </c>
      <c r="BF32" s="225">
        <f>IF(BF24-101&lt;&gt;LoanSaleHeld,0,SUM($D31:BF31)*LoanSalePercent)</f>
        <v>0</v>
      </c>
      <c r="BG32" s="225">
        <f>IF(BG24-101&lt;&gt;LoanSaleHeld,0,SUM($D31:BG31)*LoanSalePercent)</f>
        <v>0</v>
      </c>
      <c r="BH32" s="225">
        <f>IF(BH24-101&lt;&gt;LoanSaleHeld,0,SUM($D31:BH31)*LoanSalePercent)</f>
        <v>0</v>
      </c>
      <c r="BI32" s="225">
        <f>IF(BI24-101&lt;&gt;LoanSaleHeld,0,SUM($D31:BI31)*LoanSalePercent)</f>
        <v>0</v>
      </c>
      <c r="BJ32" s="225">
        <f>IF(BJ24-101&lt;&gt;LoanSaleHeld,0,SUM($D31:BJ31)*LoanSalePercent)</f>
        <v>0</v>
      </c>
      <c r="BK32" s="225">
        <f>IF(BK24-101&lt;&gt;LoanSaleHeld,0,SUM($D31:BK31)*LoanSalePercent)</f>
        <v>0</v>
      </c>
    </row>
    <row r="33" spans="1:63" ht="7.8" x14ac:dyDescent="0.15">
      <c r="A33" s="204">
        <f t="shared" ref="A33" si="548">A24+1</f>
        <v>4</v>
      </c>
      <c r="B33" s="192"/>
      <c r="C33" s="192"/>
      <c r="D33" s="192"/>
      <c r="E33" s="192"/>
      <c r="F33" s="192"/>
      <c r="G33" s="195">
        <v>101</v>
      </c>
      <c r="H33" s="196">
        <f t="shared" ref="H33" si="549">IF(H34=0,0,G33+1)</f>
        <v>102</v>
      </c>
      <c r="I33" s="196">
        <f t="shared" ref="I33" si="550">IF(I34=0,0,H33+1)</f>
        <v>103</v>
      </c>
      <c r="J33" s="196">
        <f t="shared" ref="J33" si="551">IF(J34=0,0,I33+1)</f>
        <v>104</v>
      </c>
      <c r="K33" s="196">
        <f t="shared" ref="K33" si="552">IF(K34=0,0,J33+1)</f>
        <v>105</v>
      </c>
      <c r="L33" s="196">
        <f t="shared" ref="L33" si="553">IF(L34=0,0,K33+1)</f>
        <v>106</v>
      </c>
      <c r="M33" s="196">
        <f t="shared" ref="M33" si="554">IF(M34=0,0,L33+1)</f>
        <v>107</v>
      </c>
      <c r="N33" s="196">
        <f t="shared" ref="N33" si="555">IF(N34=0,0,M33+1)</f>
        <v>108</v>
      </c>
      <c r="O33" s="196">
        <f t="shared" ref="O33" si="556">IF(O34=0,0,N33+1)</f>
        <v>109</v>
      </c>
      <c r="P33" s="196">
        <f t="shared" ref="P33" si="557">IF(P34=0,0,O33+1)</f>
        <v>110</v>
      </c>
      <c r="Q33" s="196">
        <f t="shared" ref="Q33" si="558">IF(Q34=0,0,P33+1)</f>
        <v>111</v>
      </c>
      <c r="R33" s="196">
        <f t="shared" ref="R33" si="559">IF(R34=0,0,Q33+1)</f>
        <v>112</v>
      </c>
      <c r="S33" s="196">
        <f t="shared" ref="S33" si="560">IF(S34=0,0,R33+1)</f>
        <v>113</v>
      </c>
      <c r="T33" s="196">
        <f t="shared" ref="T33" si="561">IF(T34=0,0,S33+1)</f>
        <v>114</v>
      </c>
      <c r="U33" s="196">
        <f t="shared" ref="U33" si="562">IF(U34=0,0,T33+1)</f>
        <v>115</v>
      </c>
      <c r="V33" s="196">
        <f t="shared" ref="V33" si="563">IF(V34=0,0,U33+1)</f>
        <v>116</v>
      </c>
      <c r="W33" s="196">
        <f t="shared" ref="W33" si="564">IF(W34=0,0,V33+1)</f>
        <v>117</v>
      </c>
      <c r="X33" s="196">
        <f t="shared" ref="X33" si="565">IF(X34=0,0,W33+1)</f>
        <v>118</v>
      </c>
      <c r="Y33" s="196">
        <f t="shared" ref="Y33" si="566">IF(Y34=0,0,X33+1)</f>
        <v>119</v>
      </c>
      <c r="Z33" s="196">
        <f t="shared" ref="Z33" si="567">IF(Z34=0,0,Y33+1)</f>
        <v>0</v>
      </c>
      <c r="AA33" s="196">
        <f t="shared" ref="AA33" si="568">IF(AA34=0,0,Z33+1)</f>
        <v>0</v>
      </c>
      <c r="AB33" s="196">
        <f t="shared" ref="AB33" si="569">IF(AB34=0,0,AA33+1)</f>
        <v>0</v>
      </c>
      <c r="AC33" s="196">
        <f t="shared" ref="AC33" si="570">IF(AC34=0,0,AB33+1)</f>
        <v>0</v>
      </c>
      <c r="AD33" s="196">
        <f t="shared" ref="AD33" si="571">IF(AD34=0,0,AC33+1)</f>
        <v>0</v>
      </c>
      <c r="AE33" s="196">
        <f t="shared" ref="AE33" si="572">IF(AE34=0,0,AD33+1)</f>
        <v>0</v>
      </c>
      <c r="AF33" s="196">
        <f t="shared" ref="AF33" si="573">IF(AF34=0,0,AE33+1)</f>
        <v>0</v>
      </c>
      <c r="AG33" s="196">
        <f t="shared" ref="AG33" si="574">IF(AG34=0,0,AF33+1)</f>
        <v>0</v>
      </c>
      <c r="AH33" s="196">
        <f t="shared" ref="AH33" si="575">IF(AH34=0,0,AG33+1)</f>
        <v>0</v>
      </c>
      <c r="AI33" s="196">
        <f t="shared" ref="AI33" si="576">IF(AI34=0,0,AH33+1)</f>
        <v>0</v>
      </c>
      <c r="AJ33" s="196">
        <f t="shared" ref="AJ33" si="577">IF(AJ34=0,0,AI33+1)</f>
        <v>0</v>
      </c>
      <c r="AK33" s="196">
        <f t="shared" ref="AK33" si="578">IF(AK34=0,0,AJ33+1)</f>
        <v>0</v>
      </c>
      <c r="AL33" s="196">
        <f t="shared" ref="AL33" si="579">IF(AL34=0,0,AK33+1)</f>
        <v>0</v>
      </c>
      <c r="AM33" s="196">
        <f t="shared" ref="AM33" si="580">IF(AM34=0,0,AL33+1)</f>
        <v>0</v>
      </c>
      <c r="AN33" s="196">
        <f t="shared" ref="AN33" si="581">IF(AN34=0,0,AM33+1)</f>
        <v>0</v>
      </c>
      <c r="AO33" s="196">
        <f t="shared" ref="AO33" si="582">IF(AO34=0,0,AN33+1)</f>
        <v>0</v>
      </c>
      <c r="AP33" s="196">
        <f t="shared" ref="AP33" si="583">IF(AP34=0,0,AO33+1)</f>
        <v>0</v>
      </c>
      <c r="AQ33" s="196">
        <f t="shared" ref="AQ33" si="584">IF(AQ34=0,0,AP33+1)</f>
        <v>0</v>
      </c>
      <c r="AR33" s="196">
        <f t="shared" ref="AR33" si="585">IF(AR34=0,0,AQ33+1)</f>
        <v>0</v>
      </c>
      <c r="AS33" s="196">
        <f t="shared" ref="AS33" si="586">IF(AS34=0,0,AR33+1)</f>
        <v>0</v>
      </c>
      <c r="AT33" s="196">
        <f t="shared" ref="AT33" si="587">IF(AT34=0,0,AS33+1)</f>
        <v>0</v>
      </c>
      <c r="AU33" s="196">
        <f t="shared" ref="AU33" si="588">IF(AU34=0,0,AT33+1)</f>
        <v>0</v>
      </c>
      <c r="AV33" s="196">
        <f t="shared" ref="AV33" si="589">IF(AV34=0,0,AU33+1)</f>
        <v>0</v>
      </c>
      <c r="AW33" s="196">
        <f t="shared" ref="AW33" si="590">IF(AW34=0,0,AV33+1)</f>
        <v>0</v>
      </c>
      <c r="AX33" s="196">
        <f t="shared" ref="AX33" si="591">IF(AX34=0,0,AW33+1)</f>
        <v>0</v>
      </c>
      <c r="AY33" s="196">
        <f t="shared" ref="AY33" si="592">IF(AY34=0,0,AX33+1)</f>
        <v>0</v>
      </c>
      <c r="AZ33" s="196">
        <f t="shared" ref="AZ33" si="593">IF(AZ34=0,0,AY33+1)</f>
        <v>0</v>
      </c>
      <c r="BA33" s="196">
        <f t="shared" ref="BA33" si="594">IF(BA34=0,0,AZ33+1)</f>
        <v>0</v>
      </c>
      <c r="BB33" s="196">
        <f t="shared" ref="BB33" si="595">IF(BB34=0,0,BA33+1)</f>
        <v>0</v>
      </c>
      <c r="BC33" s="196">
        <f t="shared" ref="BC33" si="596">IF(BC34=0,0,BB33+1)</f>
        <v>0</v>
      </c>
      <c r="BD33" s="196">
        <f t="shared" ref="BD33" si="597">IF(BD34=0,0,BC33+1)</f>
        <v>0</v>
      </c>
      <c r="BE33" s="196">
        <f t="shared" ref="BE33" si="598">IF(BE34=0,0,BD33+1)</f>
        <v>0</v>
      </c>
      <c r="BF33" s="196">
        <f t="shared" ref="BF33" si="599">IF(BF34=0,0,BE33+1)</f>
        <v>0</v>
      </c>
      <c r="BG33" s="196">
        <f t="shared" ref="BG33" si="600">IF(BG34=0,0,BF33+1)</f>
        <v>0</v>
      </c>
      <c r="BH33" s="196">
        <f t="shared" ref="BH33" si="601">IF(BH34=0,0,BG33+1)</f>
        <v>0</v>
      </c>
      <c r="BI33" s="196">
        <f t="shared" ref="BI33" si="602">IF(BI34=0,0,BH33+1)</f>
        <v>0</v>
      </c>
      <c r="BJ33" s="196">
        <f t="shared" ref="BJ33" si="603">IF(BJ34=0,0,BI33+1)</f>
        <v>0</v>
      </c>
      <c r="BK33" s="196">
        <f t="shared" ref="BK33" si="604">IF(BK34=0,0,BJ33+1)</f>
        <v>0</v>
      </c>
    </row>
    <row r="34" spans="1:63" ht="7.8" x14ac:dyDescent="0.15">
      <c r="A34" s="216" t="s">
        <v>178</v>
      </c>
      <c r="B34" s="192"/>
      <c r="C34" s="192"/>
      <c r="D34" s="192"/>
      <c r="E34" s="192"/>
      <c r="F34" s="192"/>
      <c r="G34" s="217">
        <f>LoanSize</f>
        <v>25</v>
      </c>
      <c r="H34" s="215">
        <f>IF(G34-G37&lt;=0.1,0,G34-G37)</f>
        <v>23.811105455869676</v>
      </c>
      <c r="I34" s="215">
        <f t="shared" ref="I34:BK34" si="605">IF(H34-H37&lt;=0.1,0,H34-H37)</f>
        <v>22.602891375397235</v>
      </c>
      <c r="J34" s="215">
        <f t="shared" si="605"/>
        <v>21.375043816117113</v>
      </c>
      <c r="K34" s="215">
        <f t="shared" si="605"/>
        <v>20.127243733998689</v>
      </c>
      <c r="L34" s="215">
        <f t="shared" si="605"/>
        <v>18.859166900545844</v>
      </c>
      <c r="M34" s="215">
        <f t="shared" si="605"/>
        <v>17.570483818549388</v>
      </c>
      <c r="N34" s="215">
        <f t="shared" si="605"/>
        <v>16.260859636470489</v>
      </c>
      <c r="O34" s="215">
        <f t="shared" si="605"/>
        <v>14.929954061432809</v>
      </c>
      <c r="P34" s="215">
        <f t="shared" si="605"/>
        <v>13.577421270800768</v>
      </c>
      <c r="Q34" s="215">
        <f t="shared" si="605"/>
        <v>12.202909822320954</v>
      </c>
      <c r="R34" s="215">
        <f t="shared" si="605"/>
        <v>10.806062562803344</v>
      </c>
      <c r="S34" s="215">
        <f t="shared" si="605"/>
        <v>9.3865165353185738</v>
      </c>
      <c r="T34" s="215">
        <f t="shared" si="605"/>
        <v>7.9439028848871756</v>
      </c>
      <c r="U34" s="215">
        <f t="shared" si="605"/>
        <v>6.4778467626362666</v>
      </c>
      <c r="V34" s="215">
        <f t="shared" si="605"/>
        <v>4.987967228398781</v>
      </c>
      <c r="W34" s="215">
        <f t="shared" si="605"/>
        <v>3.4738771517299361</v>
      </c>
      <c r="X34" s="215">
        <f t="shared" si="605"/>
        <v>1.9351831113152225</v>
      </c>
      <c r="Y34" s="215">
        <f t="shared" si="605"/>
        <v>0.37148529274376973</v>
      </c>
      <c r="Z34" s="215">
        <f t="shared" si="605"/>
        <v>0</v>
      </c>
      <c r="AA34" s="215">
        <f t="shared" si="605"/>
        <v>0</v>
      </c>
      <c r="AB34" s="215">
        <f t="shared" si="605"/>
        <v>0</v>
      </c>
      <c r="AC34" s="215">
        <f t="shared" si="605"/>
        <v>0</v>
      </c>
      <c r="AD34" s="215">
        <f t="shared" si="605"/>
        <v>0</v>
      </c>
      <c r="AE34" s="215">
        <f t="shared" si="605"/>
        <v>0</v>
      </c>
      <c r="AF34" s="215">
        <f t="shared" si="605"/>
        <v>0</v>
      </c>
      <c r="AG34" s="215">
        <f t="shared" si="605"/>
        <v>0</v>
      </c>
      <c r="AH34" s="215">
        <f t="shared" si="605"/>
        <v>0</v>
      </c>
      <c r="AI34" s="215">
        <f t="shared" si="605"/>
        <v>0</v>
      </c>
      <c r="AJ34" s="215">
        <f t="shared" si="605"/>
        <v>0</v>
      </c>
      <c r="AK34" s="215">
        <f t="shared" si="605"/>
        <v>0</v>
      </c>
      <c r="AL34" s="215">
        <f t="shared" si="605"/>
        <v>0</v>
      </c>
      <c r="AM34" s="215">
        <f t="shared" si="605"/>
        <v>0</v>
      </c>
      <c r="AN34" s="215">
        <f t="shared" si="605"/>
        <v>0</v>
      </c>
      <c r="AO34" s="215">
        <f t="shared" si="605"/>
        <v>0</v>
      </c>
      <c r="AP34" s="215">
        <f t="shared" si="605"/>
        <v>0</v>
      </c>
      <c r="AQ34" s="215">
        <f t="shared" si="605"/>
        <v>0</v>
      </c>
      <c r="AR34" s="215">
        <f t="shared" si="605"/>
        <v>0</v>
      </c>
      <c r="AS34" s="215">
        <f t="shared" si="605"/>
        <v>0</v>
      </c>
      <c r="AT34" s="215">
        <f t="shared" si="605"/>
        <v>0</v>
      </c>
      <c r="AU34" s="215">
        <f t="shared" si="605"/>
        <v>0</v>
      </c>
      <c r="AV34" s="215">
        <f t="shared" si="605"/>
        <v>0</v>
      </c>
      <c r="AW34" s="215">
        <f t="shared" si="605"/>
        <v>0</v>
      </c>
      <c r="AX34" s="215">
        <f t="shared" si="605"/>
        <v>0</v>
      </c>
      <c r="AY34" s="215">
        <f t="shared" si="605"/>
        <v>0</v>
      </c>
      <c r="AZ34" s="215">
        <f t="shared" si="605"/>
        <v>0</v>
      </c>
      <c r="BA34" s="215">
        <f t="shared" si="605"/>
        <v>0</v>
      </c>
      <c r="BB34" s="215">
        <f t="shared" si="605"/>
        <v>0</v>
      </c>
      <c r="BC34" s="215">
        <f t="shared" si="605"/>
        <v>0</v>
      </c>
      <c r="BD34" s="215">
        <f t="shared" si="605"/>
        <v>0</v>
      </c>
      <c r="BE34" s="215">
        <f t="shared" si="605"/>
        <v>0</v>
      </c>
      <c r="BF34" s="215">
        <f t="shared" si="605"/>
        <v>0</v>
      </c>
      <c r="BG34" s="215">
        <f t="shared" si="605"/>
        <v>0</v>
      </c>
      <c r="BH34" s="215">
        <f t="shared" si="605"/>
        <v>0</v>
      </c>
      <c r="BI34" s="215">
        <f t="shared" si="605"/>
        <v>0</v>
      </c>
      <c r="BJ34" s="215">
        <f t="shared" si="605"/>
        <v>0</v>
      </c>
      <c r="BK34" s="215">
        <f t="shared" si="605"/>
        <v>0</v>
      </c>
    </row>
    <row r="35" spans="1:63" ht="7.8" x14ac:dyDescent="0.15">
      <c r="A35" s="218" t="s">
        <v>179</v>
      </c>
      <c r="B35" s="192"/>
      <c r="C35" s="192"/>
      <c r="D35" s="192"/>
      <c r="E35" s="192"/>
      <c r="F35" s="192"/>
      <c r="G35" s="219">
        <f>IF(G34=0,0,PMT(INDEX(LoanCohortRate,1),LoanTerm, -LoanSize))</f>
        <v>1.5951445441303251</v>
      </c>
      <c r="H35" s="222">
        <f t="shared" ref="H35" si="606">IF(H34=0,0, G35)</f>
        <v>1.5951445441303251</v>
      </c>
      <c r="I35" s="222">
        <f t="shared" ref="I35" si="607">IF(I34=0,0, H35)</f>
        <v>1.5951445441303251</v>
      </c>
      <c r="J35" s="222">
        <f t="shared" ref="J35" si="608">IF(J34=0,0, I35)</f>
        <v>1.5951445441303251</v>
      </c>
      <c r="K35" s="222">
        <f t="shared" ref="K35" si="609">IF(K34=0,0, J35)</f>
        <v>1.5951445441303251</v>
      </c>
      <c r="L35" s="222">
        <f t="shared" ref="L35" si="610">IF(L34=0,0, K35)</f>
        <v>1.5951445441303251</v>
      </c>
      <c r="M35" s="222">
        <f t="shared" ref="M35" si="611">IF(M34=0,0, L35)</f>
        <v>1.5951445441303251</v>
      </c>
      <c r="N35" s="222">
        <f t="shared" ref="N35" si="612">IF(N34=0,0, M35)</f>
        <v>1.5951445441303251</v>
      </c>
      <c r="O35" s="222">
        <f t="shared" ref="O35" si="613">IF(O34=0,0, N35)</f>
        <v>1.5951445441303251</v>
      </c>
      <c r="P35" s="222">
        <f t="shared" ref="P35" si="614">IF(P34=0,0, O35)</f>
        <v>1.5951445441303251</v>
      </c>
      <c r="Q35" s="222">
        <f t="shared" ref="Q35" si="615">IF(Q34=0,0, P35)</f>
        <v>1.5951445441303251</v>
      </c>
      <c r="R35" s="222">
        <f t="shared" ref="R35" si="616">IF(R34=0,0, Q35)</f>
        <v>1.5951445441303251</v>
      </c>
      <c r="S35" s="222">
        <f t="shared" ref="S35" si="617">IF(S34=0,0, R35)</f>
        <v>1.5951445441303251</v>
      </c>
      <c r="T35" s="222">
        <f t="shared" ref="T35" si="618">IF(T34=0,0, S35)</f>
        <v>1.5951445441303251</v>
      </c>
      <c r="U35" s="222">
        <f t="shared" ref="U35" si="619">IF(U34=0,0, T35)</f>
        <v>1.5951445441303251</v>
      </c>
      <c r="V35" s="222">
        <f t="shared" ref="V35" si="620">IF(V34=0,0, U35)</f>
        <v>1.5951445441303251</v>
      </c>
      <c r="W35" s="222">
        <f t="shared" ref="W35" si="621">IF(W34=0,0, V35)</f>
        <v>1.5951445441303251</v>
      </c>
      <c r="X35" s="222">
        <f t="shared" ref="X35" si="622">IF(X34=0,0, W35)</f>
        <v>1.5951445441303251</v>
      </c>
      <c r="Y35" s="222">
        <f t="shared" ref="Y35" si="623">IF(Y34=0,0, X35)</f>
        <v>1.5951445441303251</v>
      </c>
      <c r="Z35" s="222">
        <f t="shared" ref="Z35" si="624">IF(Z34=0,0, Y35)</f>
        <v>0</v>
      </c>
      <c r="AA35" s="222">
        <f t="shared" ref="AA35" si="625">IF(AA34=0,0, Z35)</f>
        <v>0</v>
      </c>
      <c r="AB35" s="222">
        <f t="shared" ref="AB35" si="626">IF(AB34=0,0, AA35)</f>
        <v>0</v>
      </c>
      <c r="AC35" s="222">
        <f t="shared" ref="AC35" si="627">IF(AC34=0,0, AB35)</f>
        <v>0</v>
      </c>
      <c r="AD35" s="222">
        <f t="shared" ref="AD35" si="628">IF(AD34=0,0, AC35)</f>
        <v>0</v>
      </c>
      <c r="AE35" s="222">
        <f t="shared" ref="AE35" si="629">IF(AE34=0,0, AD35)</f>
        <v>0</v>
      </c>
      <c r="AF35" s="222">
        <f t="shared" ref="AF35" si="630">IF(AF34=0,0, AE35)</f>
        <v>0</v>
      </c>
      <c r="AG35" s="222">
        <f t="shared" ref="AG35" si="631">IF(AG34=0,0, AF35)</f>
        <v>0</v>
      </c>
      <c r="AH35" s="222">
        <f t="shared" ref="AH35" si="632">IF(AH34=0,0, AG35)</f>
        <v>0</v>
      </c>
      <c r="AI35" s="222">
        <f t="shared" ref="AI35" si="633">IF(AI34=0,0, AH35)</f>
        <v>0</v>
      </c>
      <c r="AJ35" s="222">
        <f t="shared" ref="AJ35" si="634">IF(AJ34=0,0, AI35)</f>
        <v>0</v>
      </c>
      <c r="AK35" s="222">
        <f t="shared" ref="AK35" si="635">IF(AK34=0,0, AJ35)</f>
        <v>0</v>
      </c>
      <c r="AL35" s="222">
        <f t="shared" ref="AL35" si="636">IF(AL34=0,0, AK35)</f>
        <v>0</v>
      </c>
      <c r="AM35" s="222">
        <f t="shared" ref="AM35" si="637">IF(AM34=0,0, AL35)</f>
        <v>0</v>
      </c>
      <c r="AN35" s="222">
        <f t="shared" ref="AN35" si="638">IF(AN34=0,0, AM35)</f>
        <v>0</v>
      </c>
      <c r="AO35" s="222">
        <f t="shared" ref="AO35" si="639">IF(AO34=0,0, AN35)</f>
        <v>0</v>
      </c>
      <c r="AP35" s="222">
        <f t="shared" ref="AP35" si="640">IF(AP34=0,0, AO35)</f>
        <v>0</v>
      </c>
      <c r="AQ35" s="222">
        <f t="shared" ref="AQ35" si="641">IF(AQ34=0,0, AP35)</f>
        <v>0</v>
      </c>
      <c r="AR35" s="222">
        <f t="shared" ref="AR35" si="642">IF(AR34=0,0, AQ35)</f>
        <v>0</v>
      </c>
      <c r="AS35" s="222">
        <f t="shared" ref="AS35" si="643">IF(AS34=0,0, AR35)</f>
        <v>0</v>
      </c>
      <c r="AT35" s="222">
        <f t="shared" ref="AT35" si="644">IF(AT34=0,0, AS35)</f>
        <v>0</v>
      </c>
      <c r="AU35" s="222">
        <f t="shared" ref="AU35" si="645">IF(AU34=0,0, AT35)</f>
        <v>0</v>
      </c>
      <c r="AV35" s="222">
        <f t="shared" ref="AV35" si="646">IF(AV34=0,0, AU35)</f>
        <v>0</v>
      </c>
      <c r="AW35" s="222">
        <f t="shared" ref="AW35" si="647">IF(AW34=0,0, AV35)</f>
        <v>0</v>
      </c>
      <c r="AX35" s="222">
        <f t="shared" ref="AX35" si="648">IF(AX34=0,0, AW35)</f>
        <v>0</v>
      </c>
      <c r="AY35" s="222">
        <f t="shared" ref="AY35" si="649">IF(AY34=0,0, AX35)</f>
        <v>0</v>
      </c>
      <c r="AZ35" s="222">
        <f t="shared" ref="AZ35" si="650">IF(AZ34=0,0, AY35)</f>
        <v>0</v>
      </c>
      <c r="BA35" s="222">
        <f t="shared" ref="BA35" si="651">IF(BA34=0,0, AZ35)</f>
        <v>0</v>
      </c>
      <c r="BB35" s="222">
        <f t="shared" ref="BB35" si="652">IF(BB34=0,0, BA35)</f>
        <v>0</v>
      </c>
      <c r="BC35" s="222">
        <f t="shared" ref="BC35" si="653">IF(BC34=0,0, BB35)</f>
        <v>0</v>
      </c>
      <c r="BD35" s="222">
        <f t="shared" ref="BD35" si="654">IF(BD34=0,0, BC35)</f>
        <v>0</v>
      </c>
      <c r="BE35" s="222">
        <f t="shared" ref="BE35" si="655">IF(BE34=0,0, BD35)</f>
        <v>0</v>
      </c>
      <c r="BF35" s="222">
        <f t="shared" ref="BF35" si="656">IF(BF34=0,0, BE35)</f>
        <v>0</v>
      </c>
      <c r="BG35" s="222">
        <f t="shared" ref="BG35" si="657">IF(BG34=0,0, BF35)</f>
        <v>0</v>
      </c>
      <c r="BH35" s="222">
        <f t="shared" ref="BH35" si="658">IF(BH34=0,0, BG35)</f>
        <v>0</v>
      </c>
      <c r="BI35" s="222">
        <f t="shared" ref="BI35" si="659">IF(BI34=0,0, BH35)</f>
        <v>0</v>
      </c>
      <c r="BJ35" s="222">
        <f t="shared" ref="BJ35" si="660">IF(BJ34=0,0, BI35)</f>
        <v>0</v>
      </c>
      <c r="BK35" s="222">
        <f t="shared" ref="BK35" si="661">IF(BK34=0,0, BJ35)</f>
        <v>0</v>
      </c>
    </row>
    <row r="36" spans="1:63" ht="7.8" x14ac:dyDescent="0.15">
      <c r="A36" s="218" t="s">
        <v>180</v>
      </c>
      <c r="B36" s="192"/>
      <c r="C36" s="192"/>
      <c r="D36" s="192"/>
      <c r="E36" s="192"/>
      <c r="F36" s="192"/>
      <c r="G36" s="220" cm="1">
        <f t="array" ref="G36">G34*INDEX(LoanCohortRate,$A33)</f>
        <v>0.40625</v>
      </c>
      <c r="H36" s="221" cm="1">
        <f t="array" ref="H36">H34*INDEX(LoanCohortRate,$A33)</f>
        <v>0.38693046365788225</v>
      </c>
      <c r="I36" s="221" cm="1">
        <f t="array" ref="I36">I34*INDEX(LoanCohortRate,$A33)</f>
        <v>0.36729698485020507</v>
      </c>
      <c r="J36" s="221" cm="1">
        <f t="array" ref="J36">J34*INDEX(LoanCohortRate,$A33)</f>
        <v>0.34734446201190311</v>
      </c>
      <c r="K36" s="221" cm="1">
        <f t="array" ref="K36">K34*INDEX(LoanCohortRate,$A33)</f>
        <v>0.3270677106774787</v>
      </c>
      <c r="L36" s="221" cm="1">
        <f t="array" ref="L36">L34*INDEX(LoanCohortRate,$A33)</f>
        <v>0.30646146213386999</v>
      </c>
      <c r="M36" s="221" cm="1">
        <f t="array" ref="M36">M34*INDEX(LoanCohortRate,$A33)</f>
        <v>0.28552036205142756</v>
      </c>
      <c r="N36" s="221" cm="1">
        <f t="array" ref="N36">N34*INDEX(LoanCohortRate,$A33)</f>
        <v>0.26423896909264544</v>
      </c>
      <c r="O36" s="221" cm="1">
        <f t="array" ref="O36">O34*INDEX(LoanCohortRate,$A33)</f>
        <v>0.24261175349828315</v>
      </c>
      <c r="P36" s="221" cm="1">
        <f t="array" ref="P36">P34*INDEX(LoanCohortRate,$A33)</f>
        <v>0.22063309565051248</v>
      </c>
      <c r="Q36" s="221" cm="1">
        <f t="array" ref="Q36">Q34*INDEX(LoanCohortRate,$A33)</f>
        <v>0.19829728461271551</v>
      </c>
      <c r="R36" s="221" cm="1">
        <f t="array" ref="R36">R34*INDEX(LoanCohortRate,$A33)</f>
        <v>0.17559851664555434</v>
      </c>
      <c r="S36" s="221" cm="1">
        <f t="array" ref="S36">S34*INDEX(LoanCohortRate,$A33)</f>
        <v>0.15253089369892683</v>
      </c>
      <c r="T36" s="221" cm="1">
        <f t="array" ref="T36">T34*INDEX(LoanCohortRate,$A33)</f>
        <v>0.1290884218794166</v>
      </c>
      <c r="U36" s="221" cm="1">
        <f t="array" ref="U36">U34*INDEX(LoanCohortRate,$A33)</f>
        <v>0.10526500989283934</v>
      </c>
      <c r="V36" s="221" cm="1">
        <f t="array" ref="V36">V34*INDEX(LoanCohortRate,$A33)</f>
        <v>8.1054467461480192E-2</v>
      </c>
      <c r="W36" s="221" cm="1">
        <f t="array" ref="W36">W34*INDEX(LoanCohortRate,$A33)</f>
        <v>5.6450503715611465E-2</v>
      </c>
      <c r="X36" s="221" cm="1">
        <f t="array" ref="X36">X34*INDEX(LoanCohortRate,$A33)</f>
        <v>3.1446725558872367E-2</v>
      </c>
      <c r="Y36" s="221" cm="1">
        <f t="array" ref="Y36">Y34*INDEX(LoanCohortRate,$A33)</f>
        <v>6.0366360070862584E-3</v>
      </c>
      <c r="Z36" s="221" cm="1">
        <f t="array" ref="Z36">Z34*INDEX(LoanCohortRate,$A33)</f>
        <v>0</v>
      </c>
      <c r="AA36" s="221" cm="1">
        <f t="array" ref="AA36">AA34*INDEX(LoanCohortRate,$A33)</f>
        <v>0</v>
      </c>
      <c r="AB36" s="221" cm="1">
        <f t="array" ref="AB36">AB34*INDEX(LoanCohortRate,$A33)</f>
        <v>0</v>
      </c>
      <c r="AC36" s="221" cm="1">
        <f t="array" ref="AC36">AC34*INDEX(LoanCohortRate,$A33)</f>
        <v>0</v>
      </c>
      <c r="AD36" s="221" cm="1">
        <f t="array" ref="AD36">AD34*INDEX(LoanCohortRate,$A33)</f>
        <v>0</v>
      </c>
      <c r="AE36" s="221" cm="1">
        <f t="array" ref="AE36">AE34*INDEX(LoanCohortRate,$A33)</f>
        <v>0</v>
      </c>
      <c r="AF36" s="221" cm="1">
        <f t="array" ref="AF36">AF34*INDEX(LoanCohortRate,$A33)</f>
        <v>0</v>
      </c>
      <c r="AG36" s="221" cm="1">
        <f t="array" ref="AG36">AG34*INDEX(LoanCohortRate,$A33)</f>
        <v>0</v>
      </c>
      <c r="AH36" s="221" cm="1">
        <f t="array" ref="AH36">AH34*INDEX(LoanCohortRate,$A33)</f>
        <v>0</v>
      </c>
      <c r="AI36" s="221" cm="1">
        <f t="array" ref="AI36">AI34*INDEX(LoanCohortRate,$A33)</f>
        <v>0</v>
      </c>
      <c r="AJ36" s="221" cm="1">
        <f t="array" ref="AJ36">AJ34*INDEX(LoanCohortRate,$A33)</f>
        <v>0</v>
      </c>
      <c r="AK36" s="221" cm="1">
        <f t="array" ref="AK36">AK34*INDEX(LoanCohortRate,$A33)</f>
        <v>0</v>
      </c>
      <c r="AL36" s="221" cm="1">
        <f t="array" ref="AL36">AL34*INDEX(LoanCohortRate,$A33)</f>
        <v>0</v>
      </c>
      <c r="AM36" s="221" cm="1">
        <f t="array" ref="AM36">AM34*INDEX(LoanCohortRate,$A33)</f>
        <v>0</v>
      </c>
      <c r="AN36" s="221" cm="1">
        <f t="array" ref="AN36">AN34*INDEX(LoanCohortRate,$A33)</f>
        <v>0</v>
      </c>
      <c r="AO36" s="221" cm="1">
        <f t="array" ref="AO36">AO34*INDEX(LoanCohortRate,$A33)</f>
        <v>0</v>
      </c>
      <c r="AP36" s="221" cm="1">
        <f t="array" ref="AP36">AP34*INDEX(LoanCohortRate,$A33)</f>
        <v>0</v>
      </c>
      <c r="AQ36" s="221" cm="1">
        <f t="array" ref="AQ36">AQ34*INDEX(LoanCohortRate,$A33)</f>
        <v>0</v>
      </c>
      <c r="AR36" s="221" cm="1">
        <f t="array" ref="AR36">AR34*INDEX(LoanCohortRate,$A33)</f>
        <v>0</v>
      </c>
      <c r="AS36" s="221" cm="1">
        <f t="array" ref="AS36">AS34*INDEX(LoanCohortRate,$A33)</f>
        <v>0</v>
      </c>
      <c r="AT36" s="221" cm="1">
        <f t="array" ref="AT36">AT34*INDEX(LoanCohortRate,$A33)</f>
        <v>0</v>
      </c>
      <c r="AU36" s="221" cm="1">
        <f t="array" ref="AU36">AU34*INDEX(LoanCohortRate,$A33)</f>
        <v>0</v>
      </c>
      <c r="AV36" s="221" cm="1">
        <f t="array" ref="AV36">AV34*INDEX(LoanCohortRate,$A33)</f>
        <v>0</v>
      </c>
      <c r="AW36" s="221" cm="1">
        <f t="array" ref="AW36">AW34*INDEX(LoanCohortRate,$A33)</f>
        <v>0</v>
      </c>
      <c r="AX36" s="221" cm="1">
        <f t="array" ref="AX36">AX34*INDEX(LoanCohortRate,$A33)</f>
        <v>0</v>
      </c>
      <c r="AY36" s="221" cm="1">
        <f t="array" ref="AY36">AY34*INDEX(LoanCohortRate,$A33)</f>
        <v>0</v>
      </c>
      <c r="AZ36" s="221" cm="1">
        <f t="array" ref="AZ36">AZ34*INDEX(LoanCohortRate,$A33)</f>
        <v>0</v>
      </c>
      <c r="BA36" s="221" cm="1">
        <f t="array" ref="BA36">BA34*INDEX(LoanCohortRate,$A33)</f>
        <v>0</v>
      </c>
      <c r="BB36" s="221" cm="1">
        <f t="array" ref="BB36">BB34*INDEX(LoanCohortRate,$A33)</f>
        <v>0</v>
      </c>
      <c r="BC36" s="221" cm="1">
        <f t="array" ref="BC36">BC34*INDEX(LoanCohortRate,$A33)</f>
        <v>0</v>
      </c>
      <c r="BD36" s="221" cm="1">
        <f t="array" ref="BD36">BD34*INDEX(LoanCohortRate,$A33)</f>
        <v>0</v>
      </c>
      <c r="BE36" s="221" cm="1">
        <f t="array" ref="BE36">BE34*INDEX(LoanCohortRate,$A33)</f>
        <v>0</v>
      </c>
      <c r="BF36" s="221" cm="1">
        <f t="array" ref="BF36">BF34*INDEX(LoanCohortRate,$A33)</f>
        <v>0</v>
      </c>
      <c r="BG36" s="221" cm="1">
        <f t="array" ref="BG36">BG34*INDEX(LoanCohortRate,$A33)</f>
        <v>0</v>
      </c>
      <c r="BH36" s="221" cm="1">
        <f t="array" ref="BH36">BH34*INDEX(LoanCohortRate,$A33)</f>
        <v>0</v>
      </c>
      <c r="BI36" s="221" cm="1">
        <f t="array" ref="BI36">BI34*INDEX(LoanCohortRate,$A33)</f>
        <v>0</v>
      </c>
      <c r="BJ36" s="221" cm="1">
        <f t="array" ref="BJ36">BJ34*INDEX(LoanCohortRate,$A33)</f>
        <v>0</v>
      </c>
      <c r="BK36" s="221" cm="1">
        <f t="array" ref="BK36">BK34*INDEX(LoanCohortRate,$A33)</f>
        <v>0</v>
      </c>
    </row>
    <row r="37" spans="1:63" ht="7.8" x14ac:dyDescent="0.15">
      <c r="A37" s="218" t="s">
        <v>177</v>
      </c>
      <c r="B37" s="192"/>
      <c r="C37" s="192"/>
      <c r="D37" s="192"/>
      <c r="E37" s="192"/>
      <c r="F37" s="192"/>
      <c r="G37" s="219">
        <f>G35-G36</f>
        <v>1.1888945441303251</v>
      </c>
      <c r="H37" s="222">
        <f t="shared" ref="H37:BK37" si="662">H35-H36</f>
        <v>1.2082140804724428</v>
      </c>
      <c r="I37" s="222">
        <f t="shared" si="662"/>
        <v>1.2278475592801201</v>
      </c>
      <c r="J37" s="222">
        <f t="shared" si="662"/>
        <v>1.2478000821184221</v>
      </c>
      <c r="K37" s="222">
        <f t="shared" si="662"/>
        <v>1.2680768334528465</v>
      </c>
      <c r="L37" s="222">
        <f t="shared" si="662"/>
        <v>1.2886830819964552</v>
      </c>
      <c r="M37" s="222">
        <f t="shared" si="662"/>
        <v>1.3096241820788976</v>
      </c>
      <c r="N37" s="222">
        <f t="shared" si="662"/>
        <v>1.3309055750376797</v>
      </c>
      <c r="O37" s="222">
        <f t="shared" si="662"/>
        <v>1.3525327906320419</v>
      </c>
      <c r="P37" s="222">
        <f t="shared" si="662"/>
        <v>1.3745114484798127</v>
      </c>
      <c r="Q37" s="222">
        <f t="shared" si="662"/>
        <v>1.3968472595176096</v>
      </c>
      <c r="R37" s="222">
        <f t="shared" si="662"/>
        <v>1.4195460274847709</v>
      </c>
      <c r="S37" s="222">
        <f t="shared" si="662"/>
        <v>1.4426136504313982</v>
      </c>
      <c r="T37" s="222">
        <f t="shared" si="662"/>
        <v>1.4660561222509085</v>
      </c>
      <c r="U37" s="222">
        <f t="shared" si="662"/>
        <v>1.4898795342374858</v>
      </c>
      <c r="V37" s="222">
        <f t="shared" si="662"/>
        <v>1.514090076668845</v>
      </c>
      <c r="W37" s="222">
        <f t="shared" si="662"/>
        <v>1.5386940404147136</v>
      </c>
      <c r="X37" s="222">
        <f t="shared" si="662"/>
        <v>1.5636978185714527</v>
      </c>
      <c r="Y37" s="222">
        <f t="shared" si="662"/>
        <v>1.5891079081232389</v>
      </c>
      <c r="Z37" s="222">
        <f t="shared" si="662"/>
        <v>0</v>
      </c>
      <c r="AA37" s="222">
        <f t="shared" si="662"/>
        <v>0</v>
      </c>
      <c r="AB37" s="222">
        <f t="shared" si="662"/>
        <v>0</v>
      </c>
      <c r="AC37" s="222">
        <f t="shared" si="662"/>
        <v>0</v>
      </c>
      <c r="AD37" s="222">
        <f t="shared" si="662"/>
        <v>0</v>
      </c>
      <c r="AE37" s="222">
        <f t="shared" si="662"/>
        <v>0</v>
      </c>
      <c r="AF37" s="222">
        <f t="shared" si="662"/>
        <v>0</v>
      </c>
      <c r="AG37" s="222">
        <f t="shared" si="662"/>
        <v>0</v>
      </c>
      <c r="AH37" s="222">
        <f t="shared" si="662"/>
        <v>0</v>
      </c>
      <c r="AI37" s="222">
        <f t="shared" si="662"/>
        <v>0</v>
      </c>
      <c r="AJ37" s="222">
        <f t="shared" si="662"/>
        <v>0</v>
      </c>
      <c r="AK37" s="222">
        <f t="shared" si="662"/>
        <v>0</v>
      </c>
      <c r="AL37" s="222">
        <f t="shared" si="662"/>
        <v>0</v>
      </c>
      <c r="AM37" s="222">
        <f t="shared" si="662"/>
        <v>0</v>
      </c>
      <c r="AN37" s="222">
        <f t="shared" si="662"/>
        <v>0</v>
      </c>
      <c r="AO37" s="222">
        <f t="shared" si="662"/>
        <v>0</v>
      </c>
      <c r="AP37" s="222">
        <f t="shared" si="662"/>
        <v>0</v>
      </c>
      <c r="AQ37" s="222">
        <f t="shared" si="662"/>
        <v>0</v>
      </c>
      <c r="AR37" s="222">
        <f t="shared" si="662"/>
        <v>0</v>
      </c>
      <c r="AS37" s="222">
        <f t="shared" si="662"/>
        <v>0</v>
      </c>
      <c r="AT37" s="222">
        <f t="shared" si="662"/>
        <v>0</v>
      </c>
      <c r="AU37" s="222">
        <f t="shared" si="662"/>
        <v>0</v>
      </c>
      <c r="AV37" s="222">
        <f t="shared" si="662"/>
        <v>0</v>
      </c>
      <c r="AW37" s="222">
        <f t="shared" si="662"/>
        <v>0</v>
      </c>
      <c r="AX37" s="222">
        <f t="shared" si="662"/>
        <v>0</v>
      </c>
      <c r="AY37" s="222">
        <f t="shared" si="662"/>
        <v>0</v>
      </c>
      <c r="AZ37" s="222">
        <f t="shared" si="662"/>
        <v>0</v>
      </c>
      <c r="BA37" s="222">
        <f t="shared" si="662"/>
        <v>0</v>
      </c>
      <c r="BB37" s="222">
        <f t="shared" si="662"/>
        <v>0</v>
      </c>
      <c r="BC37" s="222">
        <f t="shared" si="662"/>
        <v>0</v>
      </c>
      <c r="BD37" s="222">
        <f t="shared" si="662"/>
        <v>0</v>
      </c>
      <c r="BE37" s="222">
        <f t="shared" si="662"/>
        <v>0</v>
      </c>
      <c r="BF37" s="222">
        <f t="shared" si="662"/>
        <v>0</v>
      </c>
      <c r="BG37" s="222">
        <f t="shared" si="662"/>
        <v>0</v>
      </c>
      <c r="BH37" s="222">
        <f t="shared" si="662"/>
        <v>0</v>
      </c>
      <c r="BI37" s="222">
        <f t="shared" si="662"/>
        <v>0</v>
      </c>
      <c r="BJ37" s="222">
        <f t="shared" si="662"/>
        <v>0</v>
      </c>
      <c r="BK37" s="222">
        <f t="shared" si="662"/>
        <v>0</v>
      </c>
    </row>
    <row r="38" spans="1:63" ht="7.8" x14ac:dyDescent="0.15">
      <c r="A38" s="205" t="s">
        <v>7</v>
      </c>
      <c r="B38" s="192"/>
      <c r="C38" s="192"/>
      <c r="D38" s="192"/>
      <c r="E38" s="192"/>
      <c r="F38" s="192"/>
      <c r="G38" s="214" cm="1">
        <f t="array" ref="G38">INDEX(LoanOriginations,$A33)</f>
        <v>101.50751249999996</v>
      </c>
      <c r="H38" s="199">
        <f t="shared" ref="H38:AM38" si="663">G38*(1-MitigateDelinquency*MitigateChargeoff)  *  IF(H33=0,0,IF(H33-102=LoanSaleHeld,0.6,1))</f>
        <v>101.40600498749995</v>
      </c>
      <c r="I38" s="199">
        <f t="shared" si="663"/>
        <v>101.30459898251246</v>
      </c>
      <c r="J38" s="199">
        <f t="shared" si="663"/>
        <v>101.20329438352995</v>
      </c>
      <c r="K38" s="199">
        <f t="shared" si="663"/>
        <v>60.661254653487852</v>
      </c>
      <c r="L38" s="199">
        <f t="shared" si="663"/>
        <v>60.600593398834363</v>
      </c>
      <c r="M38" s="199">
        <f t="shared" si="663"/>
        <v>60.539992805435531</v>
      </c>
      <c r="N38" s="199">
        <f t="shared" si="663"/>
        <v>60.479452812630093</v>
      </c>
      <c r="O38" s="199">
        <f t="shared" si="663"/>
        <v>60.418973359817464</v>
      </c>
      <c r="P38" s="199">
        <f t="shared" si="663"/>
        <v>60.358554386457648</v>
      </c>
      <c r="Q38" s="199">
        <f t="shared" si="663"/>
        <v>60.298195832071187</v>
      </c>
      <c r="R38" s="199">
        <f t="shared" si="663"/>
        <v>60.237897636239119</v>
      </c>
      <c r="S38" s="199">
        <f t="shared" si="663"/>
        <v>60.177659738602877</v>
      </c>
      <c r="T38" s="199">
        <f t="shared" si="663"/>
        <v>60.117482078864271</v>
      </c>
      <c r="U38" s="199">
        <f t="shared" si="663"/>
        <v>60.057364596785405</v>
      </c>
      <c r="V38" s="199">
        <f t="shared" si="663"/>
        <v>59.997307232188618</v>
      </c>
      <c r="W38" s="199">
        <f t="shared" si="663"/>
        <v>59.937309924956431</v>
      </c>
      <c r="X38" s="199">
        <f t="shared" si="663"/>
        <v>59.877372615031476</v>
      </c>
      <c r="Y38" s="199">
        <f t="shared" si="663"/>
        <v>59.817495242416442</v>
      </c>
      <c r="Z38" s="199">
        <f t="shared" si="663"/>
        <v>0</v>
      </c>
      <c r="AA38" s="199">
        <f t="shared" si="663"/>
        <v>0</v>
      </c>
      <c r="AB38" s="199">
        <f t="shared" si="663"/>
        <v>0</v>
      </c>
      <c r="AC38" s="199">
        <f t="shared" si="663"/>
        <v>0</v>
      </c>
      <c r="AD38" s="199">
        <f t="shared" si="663"/>
        <v>0</v>
      </c>
      <c r="AE38" s="199">
        <f t="shared" si="663"/>
        <v>0</v>
      </c>
      <c r="AF38" s="199">
        <f t="shared" si="663"/>
        <v>0</v>
      </c>
      <c r="AG38" s="199">
        <f t="shared" si="663"/>
        <v>0</v>
      </c>
      <c r="AH38" s="199">
        <f t="shared" si="663"/>
        <v>0</v>
      </c>
      <c r="AI38" s="199">
        <f t="shared" si="663"/>
        <v>0</v>
      </c>
      <c r="AJ38" s="199">
        <f t="shared" si="663"/>
        <v>0</v>
      </c>
      <c r="AK38" s="199">
        <f t="shared" si="663"/>
        <v>0</v>
      </c>
      <c r="AL38" s="199">
        <f t="shared" si="663"/>
        <v>0</v>
      </c>
      <c r="AM38" s="199">
        <f t="shared" si="663"/>
        <v>0</v>
      </c>
      <c r="AN38" s="199">
        <f t="shared" ref="AN38:BK38" si="664">AM38*(1-MitigateDelinquency*MitigateChargeoff)  *  IF(AN33=0,0,IF(AN33-102=LoanSaleHeld,0.6,1))</f>
        <v>0</v>
      </c>
      <c r="AO38" s="199">
        <f t="shared" si="664"/>
        <v>0</v>
      </c>
      <c r="AP38" s="199">
        <f t="shared" si="664"/>
        <v>0</v>
      </c>
      <c r="AQ38" s="199">
        <f t="shared" si="664"/>
        <v>0</v>
      </c>
      <c r="AR38" s="199">
        <f t="shared" si="664"/>
        <v>0</v>
      </c>
      <c r="AS38" s="199">
        <f t="shared" si="664"/>
        <v>0</v>
      </c>
      <c r="AT38" s="199">
        <f t="shared" si="664"/>
        <v>0</v>
      </c>
      <c r="AU38" s="199">
        <f t="shared" si="664"/>
        <v>0</v>
      </c>
      <c r="AV38" s="199">
        <f t="shared" si="664"/>
        <v>0</v>
      </c>
      <c r="AW38" s="199">
        <f t="shared" si="664"/>
        <v>0</v>
      </c>
      <c r="AX38" s="199">
        <f t="shared" si="664"/>
        <v>0</v>
      </c>
      <c r="AY38" s="199">
        <f t="shared" si="664"/>
        <v>0</v>
      </c>
      <c r="AZ38" s="199">
        <f t="shared" si="664"/>
        <v>0</v>
      </c>
      <c r="BA38" s="199">
        <f t="shared" si="664"/>
        <v>0</v>
      </c>
      <c r="BB38" s="199">
        <f t="shared" si="664"/>
        <v>0</v>
      </c>
      <c r="BC38" s="199">
        <f t="shared" si="664"/>
        <v>0</v>
      </c>
      <c r="BD38" s="199">
        <f t="shared" si="664"/>
        <v>0</v>
      </c>
      <c r="BE38" s="199">
        <f t="shared" si="664"/>
        <v>0</v>
      </c>
      <c r="BF38" s="199">
        <f t="shared" si="664"/>
        <v>0</v>
      </c>
      <c r="BG38" s="199">
        <f t="shared" si="664"/>
        <v>0</v>
      </c>
      <c r="BH38" s="199">
        <f t="shared" si="664"/>
        <v>0</v>
      </c>
      <c r="BI38" s="199">
        <f t="shared" si="664"/>
        <v>0</v>
      </c>
      <c r="BJ38" s="199">
        <f t="shared" si="664"/>
        <v>0</v>
      </c>
      <c r="BK38" s="199">
        <f t="shared" si="664"/>
        <v>0</v>
      </c>
    </row>
    <row r="39" spans="1:63" ht="7.8" x14ac:dyDescent="0.15">
      <c r="A39" s="207" t="s">
        <v>96</v>
      </c>
      <c r="B39" s="192"/>
      <c r="C39" s="192"/>
      <c r="D39" s="192"/>
      <c r="E39" s="192"/>
      <c r="F39" s="192"/>
      <c r="G39" s="223">
        <f>G36*G38</f>
        <v>41.237426953124981</v>
      </c>
      <c r="H39" s="200">
        <f t="shared" ref="H39" si="665">H36*H38</f>
        <v>39.237072527506875</v>
      </c>
      <c r="I39" s="200">
        <f t="shared" ref="I39" si="666">I36*I38</f>
        <v>37.208873757735979</v>
      </c>
      <c r="J39" s="200">
        <f t="shared" ref="J39" si="667">J36*J38</f>
        <v>35.152403841479469</v>
      </c>
      <c r="K39" s="200">
        <f t="shared" ref="K39" si="668">K36*K38</f>
        <v>19.840337686339822</v>
      </c>
      <c r="L39" s="200">
        <f t="shared" ref="L39" si="669">L36*L38</f>
        <v>18.571746459186929</v>
      </c>
      <c r="M39" s="200">
        <f t="shared" ref="M39" si="670">M36*M38</f>
        <v>17.285400664398772</v>
      </c>
      <c r="N39" s="200">
        <f t="shared" ref="N39" si="671">N36*N38</f>
        <v>15.981028262496672</v>
      </c>
      <c r="O39" s="200">
        <f t="shared" ref="O39" si="672">O36*O38</f>
        <v>14.658353071391371</v>
      </c>
      <c r="P39" s="200">
        <f t="shared" ref="P39" si="673">P36*P38</f>
        <v>13.31709470327397</v>
      </c>
      <c r="Q39" s="200">
        <f t="shared" ref="Q39" si="674">Q36*Q38</f>
        <v>11.956968500545477</v>
      </c>
      <c r="R39" s="200">
        <f t="shared" ref="R39" si="675">R36*R38</f>
        <v>10.577685470770334</v>
      </c>
      <c r="S39" s="200">
        <f t="shared" ref="S39" si="676">S36*S38</f>
        <v>9.1789522206390242</v>
      </c>
      <c r="T39" s="200">
        <f t="shared" ref="T39" si="677">T36*T38</f>
        <v>7.7604708889246981</v>
      </c>
      <c r="U39" s="200">
        <f t="shared" ref="U39" si="678">U36*U38</f>
        <v>6.3219390784184748</v>
      </c>
      <c r="V39" s="200">
        <f t="shared" ref="V39" si="679">V36*V38</f>
        <v>4.8630497868278626</v>
      </c>
      <c r="W39" s="200">
        <f t="shared" ref="W39" si="680">W36*W38</f>
        <v>3.3834913366225088</v>
      </c>
      <c r="X39" s="200">
        <f t="shared" ref="X39" si="681">X36*X38</f>
        <v>1.8829473038112345</v>
      </c>
      <c r="Y39" s="200">
        <f t="shared" ref="Y39" si="682">Y36*Y38</f>
        <v>0.36109644563408205</v>
      </c>
      <c r="Z39" s="200">
        <f t="shared" ref="Z39" si="683">Z36*Z38</f>
        <v>0</v>
      </c>
      <c r="AA39" s="200">
        <f t="shared" ref="AA39" si="684">AA36*AA38</f>
        <v>0</v>
      </c>
      <c r="AB39" s="200">
        <f t="shared" ref="AB39" si="685">AB36*AB38</f>
        <v>0</v>
      </c>
      <c r="AC39" s="200">
        <f t="shared" ref="AC39" si="686">AC36*AC38</f>
        <v>0</v>
      </c>
      <c r="AD39" s="200">
        <f t="shared" ref="AD39" si="687">AD36*AD38</f>
        <v>0</v>
      </c>
      <c r="AE39" s="200">
        <f t="shared" ref="AE39" si="688">AE36*AE38</f>
        <v>0</v>
      </c>
      <c r="AF39" s="200">
        <f t="shared" ref="AF39" si="689">AF36*AF38</f>
        <v>0</v>
      </c>
      <c r="AG39" s="200">
        <f t="shared" ref="AG39" si="690">AG36*AG38</f>
        <v>0</v>
      </c>
      <c r="AH39" s="200">
        <f t="shared" ref="AH39" si="691">AH36*AH38</f>
        <v>0</v>
      </c>
      <c r="AI39" s="200">
        <f t="shared" ref="AI39" si="692">AI36*AI38</f>
        <v>0</v>
      </c>
      <c r="AJ39" s="200">
        <f t="shared" ref="AJ39" si="693">AJ36*AJ38</f>
        <v>0</v>
      </c>
      <c r="AK39" s="200">
        <f t="shared" ref="AK39" si="694">AK36*AK38</f>
        <v>0</v>
      </c>
      <c r="AL39" s="200">
        <f t="shared" ref="AL39" si="695">AL36*AL38</f>
        <v>0</v>
      </c>
      <c r="AM39" s="200">
        <f t="shared" ref="AM39" si="696">AM36*AM38</f>
        <v>0</v>
      </c>
      <c r="AN39" s="200">
        <f t="shared" ref="AN39" si="697">AN36*AN38</f>
        <v>0</v>
      </c>
      <c r="AO39" s="200">
        <f t="shared" ref="AO39" si="698">AO36*AO38</f>
        <v>0</v>
      </c>
      <c r="AP39" s="200">
        <f t="shared" ref="AP39" si="699">AP36*AP38</f>
        <v>0</v>
      </c>
      <c r="AQ39" s="200">
        <f t="shared" ref="AQ39" si="700">AQ36*AQ38</f>
        <v>0</v>
      </c>
      <c r="AR39" s="200">
        <f t="shared" ref="AR39" si="701">AR36*AR38</f>
        <v>0</v>
      </c>
      <c r="AS39" s="200">
        <f t="shared" ref="AS39" si="702">AS36*AS38</f>
        <v>0</v>
      </c>
      <c r="AT39" s="200">
        <f t="shared" ref="AT39" si="703">AT36*AT38</f>
        <v>0</v>
      </c>
      <c r="AU39" s="200">
        <f t="shared" ref="AU39" si="704">AU36*AU38</f>
        <v>0</v>
      </c>
      <c r="AV39" s="200">
        <f t="shared" ref="AV39" si="705">AV36*AV38</f>
        <v>0</v>
      </c>
      <c r="AW39" s="200">
        <f t="shared" ref="AW39" si="706">AW36*AW38</f>
        <v>0</v>
      </c>
      <c r="AX39" s="200">
        <f t="shared" ref="AX39" si="707">AX36*AX38</f>
        <v>0</v>
      </c>
      <c r="AY39" s="200">
        <f t="shared" ref="AY39" si="708">AY36*AY38</f>
        <v>0</v>
      </c>
      <c r="AZ39" s="200">
        <f t="shared" ref="AZ39" si="709">AZ36*AZ38</f>
        <v>0</v>
      </c>
      <c r="BA39" s="200">
        <f t="shared" ref="BA39" si="710">BA36*BA38</f>
        <v>0</v>
      </c>
      <c r="BB39" s="200">
        <f t="shared" ref="BB39" si="711">BB36*BB38</f>
        <v>0</v>
      </c>
      <c r="BC39" s="200">
        <f t="shared" ref="BC39" si="712">BC36*BC38</f>
        <v>0</v>
      </c>
      <c r="BD39" s="200">
        <f t="shared" ref="BD39" si="713">BD36*BD38</f>
        <v>0</v>
      </c>
      <c r="BE39" s="200">
        <f t="shared" ref="BE39" si="714">BE36*BE38</f>
        <v>0</v>
      </c>
      <c r="BF39" s="200">
        <f t="shared" ref="BF39" si="715">BF36*BF38</f>
        <v>0</v>
      </c>
      <c r="BG39" s="200">
        <f t="shared" ref="BG39" si="716">BG36*BG38</f>
        <v>0</v>
      </c>
      <c r="BH39" s="200">
        <f t="shared" ref="BH39" si="717">BH36*BH38</f>
        <v>0</v>
      </c>
      <c r="BI39" s="200">
        <f t="shared" ref="BI39" si="718">BI36*BI38</f>
        <v>0</v>
      </c>
      <c r="BJ39" s="200">
        <f t="shared" ref="BJ39" si="719">BJ36*BJ38</f>
        <v>0</v>
      </c>
      <c r="BK39" s="200">
        <f t="shared" ref="BK39" si="720">BK36*BK38</f>
        <v>0</v>
      </c>
    </row>
    <row r="40" spans="1:63" ht="7.8" x14ac:dyDescent="0.15">
      <c r="A40" s="206" t="s">
        <v>97</v>
      </c>
      <c r="B40" s="192"/>
      <c r="C40" s="192"/>
      <c r="D40" s="192"/>
      <c r="E40" s="192"/>
      <c r="F40" s="192"/>
      <c r="G40" s="223">
        <f>G37*G38</f>
        <v>120.68172779949073</v>
      </c>
      <c r="H40" s="200">
        <f>H37*H38</f>
        <v>122.5201630703562</v>
      </c>
      <c r="I40" s="200">
        <f t="shared" ref="I40:BK40" si="721">I37*I38</f>
        <v>124.38660460452927</v>
      </c>
      <c r="J40" s="200">
        <f t="shared" si="721"/>
        <v>126.28147904242351</v>
      </c>
      <c r="K40" s="200">
        <f t="shared" si="721"/>
        <v>76.923131714271619</v>
      </c>
      <c r="L40" s="200">
        <f t="shared" si="721"/>
        <v>78.094959472023902</v>
      </c>
      <c r="M40" s="200">
        <f t="shared" si="721"/>
        <v>79.28463856088085</v>
      </c>
      <c r="N40" s="200">
        <f t="shared" si="721"/>
        <v>80.492440923557666</v>
      </c>
      <c r="O40" s="200">
        <f t="shared" si="721"/>
        <v>81.718642645476905</v>
      </c>
      <c r="P40" s="200">
        <f t="shared" si="721"/>
        <v>82.963524017877447</v>
      </c>
      <c r="Q40" s="200">
        <f t="shared" si="721"/>
        <v>84.227369601884789</v>
      </c>
      <c r="R40" s="200">
        <f t="shared" si="721"/>
        <v>85.510468293557508</v>
      </c>
      <c r="S40" s="200">
        <f t="shared" si="721"/>
        <v>86.813113389924482</v>
      </c>
      <c r="T40" s="200">
        <f t="shared" si="721"/>
        <v>88.13560265602824</v>
      </c>
      <c r="U40" s="200">
        <f t="shared" si="721"/>
        <v>89.47823839298951</v>
      </c>
      <c r="V40" s="200">
        <f t="shared" si="721"/>
        <v>90.841327507108716</v>
      </c>
      <c r="W40" s="200">
        <f t="shared" si="721"/>
        <v>92.22518158002012</v>
      </c>
      <c r="X40" s="200">
        <f t="shared" si="721"/>
        <v>93.630116939914757</v>
      </c>
      <c r="Y40" s="200">
        <f t="shared" si="721"/>
        <v>95.056454733848184</v>
      </c>
      <c r="Z40" s="200">
        <f t="shared" si="721"/>
        <v>0</v>
      </c>
      <c r="AA40" s="200">
        <f t="shared" si="721"/>
        <v>0</v>
      </c>
      <c r="AB40" s="200">
        <f t="shared" si="721"/>
        <v>0</v>
      </c>
      <c r="AC40" s="200">
        <f t="shared" si="721"/>
        <v>0</v>
      </c>
      <c r="AD40" s="200">
        <f t="shared" si="721"/>
        <v>0</v>
      </c>
      <c r="AE40" s="200">
        <f t="shared" si="721"/>
        <v>0</v>
      </c>
      <c r="AF40" s="200">
        <f t="shared" si="721"/>
        <v>0</v>
      </c>
      <c r="AG40" s="200">
        <f t="shared" si="721"/>
        <v>0</v>
      </c>
      <c r="AH40" s="200">
        <f t="shared" si="721"/>
        <v>0</v>
      </c>
      <c r="AI40" s="200">
        <f t="shared" si="721"/>
        <v>0</v>
      </c>
      <c r="AJ40" s="200">
        <f t="shared" si="721"/>
        <v>0</v>
      </c>
      <c r="AK40" s="200">
        <f t="shared" si="721"/>
        <v>0</v>
      </c>
      <c r="AL40" s="200">
        <f t="shared" si="721"/>
        <v>0</v>
      </c>
      <c r="AM40" s="200">
        <f t="shared" si="721"/>
        <v>0</v>
      </c>
      <c r="AN40" s="200">
        <f t="shared" si="721"/>
        <v>0</v>
      </c>
      <c r="AO40" s="200">
        <f t="shared" si="721"/>
        <v>0</v>
      </c>
      <c r="AP40" s="200">
        <f t="shared" si="721"/>
        <v>0</v>
      </c>
      <c r="AQ40" s="200">
        <f t="shared" si="721"/>
        <v>0</v>
      </c>
      <c r="AR40" s="200">
        <f t="shared" si="721"/>
        <v>0</v>
      </c>
      <c r="AS40" s="200">
        <f t="shared" si="721"/>
        <v>0</v>
      </c>
      <c r="AT40" s="200">
        <f t="shared" si="721"/>
        <v>0</v>
      </c>
      <c r="AU40" s="200">
        <f t="shared" si="721"/>
        <v>0</v>
      </c>
      <c r="AV40" s="200">
        <f t="shared" si="721"/>
        <v>0</v>
      </c>
      <c r="AW40" s="200">
        <f t="shared" si="721"/>
        <v>0</v>
      </c>
      <c r="AX40" s="200">
        <f t="shared" si="721"/>
        <v>0</v>
      </c>
      <c r="AY40" s="200">
        <f t="shared" si="721"/>
        <v>0</v>
      </c>
      <c r="AZ40" s="200">
        <f t="shared" si="721"/>
        <v>0</v>
      </c>
      <c r="BA40" s="200">
        <f t="shared" si="721"/>
        <v>0</v>
      </c>
      <c r="BB40" s="200">
        <f t="shared" si="721"/>
        <v>0</v>
      </c>
      <c r="BC40" s="200">
        <f t="shared" si="721"/>
        <v>0</v>
      </c>
      <c r="BD40" s="200">
        <f t="shared" si="721"/>
        <v>0</v>
      </c>
      <c r="BE40" s="200">
        <f t="shared" si="721"/>
        <v>0</v>
      </c>
      <c r="BF40" s="200">
        <f t="shared" si="721"/>
        <v>0</v>
      </c>
      <c r="BG40" s="200">
        <f t="shared" si="721"/>
        <v>0</v>
      </c>
      <c r="BH40" s="200">
        <f t="shared" si="721"/>
        <v>0</v>
      </c>
      <c r="BI40" s="200">
        <f t="shared" si="721"/>
        <v>0</v>
      </c>
      <c r="BJ40" s="200">
        <f t="shared" si="721"/>
        <v>0</v>
      </c>
      <c r="BK40" s="200">
        <f t="shared" si="721"/>
        <v>0</v>
      </c>
    </row>
    <row r="41" spans="1:63" ht="7.8" x14ac:dyDescent="0.15">
      <c r="A41" s="208" t="s">
        <v>203</v>
      </c>
      <c r="B41" s="192"/>
      <c r="C41" s="192"/>
      <c r="D41" s="192"/>
      <c r="E41" s="192"/>
      <c r="F41" s="192"/>
      <c r="G41" s="224">
        <f>IF(G33-101&lt;&gt;LoanSaleHeld,0,SUM($D40:G40)*LoanSalePercent)</f>
        <v>0</v>
      </c>
      <c r="H41" s="225">
        <f>IF(H33-101&lt;&gt;LoanSaleHeld,0,SUM($D40:H40)*LoanSalePercent)</f>
        <v>0</v>
      </c>
      <c r="I41" s="225">
        <f>IF(I33-101&lt;&gt;LoanSaleHeld,0,SUM($D40:I40)*LoanSalePercent)</f>
        <v>0</v>
      </c>
      <c r="J41" s="225">
        <f>IF(J33-101&lt;&gt;LoanSaleHeld,0,SUM($D40:J40)*LoanSalePercent)</f>
        <v>197.5479898067199</v>
      </c>
      <c r="K41" s="225">
        <f>IF(K33-101&lt;&gt;LoanSaleHeld,0,SUM($D40:K40)*LoanSalePercent)</f>
        <v>0</v>
      </c>
      <c r="L41" s="225">
        <f>IF(L33-101&lt;&gt;LoanSaleHeld,0,SUM($D40:L40)*LoanSalePercent)</f>
        <v>0</v>
      </c>
      <c r="M41" s="225">
        <f>IF(M33-101&lt;&gt;LoanSaleHeld,0,SUM($D40:M40)*LoanSalePercent)</f>
        <v>0</v>
      </c>
      <c r="N41" s="225">
        <f>IF(N33-101&lt;&gt;LoanSaleHeld,0,SUM($D40:N40)*LoanSalePercent)</f>
        <v>0</v>
      </c>
      <c r="O41" s="225">
        <f>IF(O33-101&lt;&gt;LoanSaleHeld,0,SUM($D40:O40)*LoanSalePercent)</f>
        <v>0</v>
      </c>
      <c r="P41" s="225">
        <f>IF(P33-101&lt;&gt;LoanSaleHeld,0,SUM($D40:P40)*LoanSalePercent)</f>
        <v>0</v>
      </c>
      <c r="Q41" s="225">
        <f>IF(Q33-101&lt;&gt;LoanSaleHeld,0,SUM($D40:Q40)*LoanSalePercent)</f>
        <v>0</v>
      </c>
      <c r="R41" s="225">
        <f>IF(R33-101&lt;&gt;LoanSaleHeld,0,SUM($D40:R40)*LoanSalePercent)</f>
        <v>0</v>
      </c>
      <c r="S41" s="225">
        <f>IF(S33-101&lt;&gt;LoanSaleHeld,0,SUM($D40:S40)*LoanSalePercent)</f>
        <v>0</v>
      </c>
      <c r="T41" s="225">
        <f>IF(T33-101&lt;&gt;LoanSaleHeld,0,SUM($D40:T40)*LoanSalePercent)</f>
        <v>0</v>
      </c>
      <c r="U41" s="225">
        <f>IF(U33-101&lt;&gt;LoanSaleHeld,0,SUM($D40:U40)*LoanSalePercent)</f>
        <v>0</v>
      </c>
      <c r="V41" s="225">
        <f>IF(V33-101&lt;&gt;LoanSaleHeld,0,SUM($D40:V40)*LoanSalePercent)</f>
        <v>0</v>
      </c>
      <c r="W41" s="225">
        <f>IF(W33-101&lt;&gt;LoanSaleHeld,0,SUM($D40:W40)*LoanSalePercent)</f>
        <v>0</v>
      </c>
      <c r="X41" s="225">
        <f>IF(X33-101&lt;&gt;LoanSaleHeld,0,SUM($D40:X40)*LoanSalePercent)</f>
        <v>0</v>
      </c>
      <c r="Y41" s="225">
        <f>IF(Y33-101&lt;&gt;LoanSaleHeld,0,SUM($D40:Y40)*LoanSalePercent)</f>
        <v>0</v>
      </c>
      <c r="Z41" s="225">
        <f>IF(Z33-101&lt;&gt;LoanSaleHeld,0,SUM($D40:Z40)*LoanSalePercent)</f>
        <v>0</v>
      </c>
      <c r="AA41" s="225">
        <f>IF(AA33-101&lt;&gt;LoanSaleHeld,0,SUM($D40:AA40)*LoanSalePercent)</f>
        <v>0</v>
      </c>
      <c r="AB41" s="225">
        <f>IF(AB33-101&lt;&gt;LoanSaleHeld,0,SUM($D40:AB40)*LoanSalePercent)</f>
        <v>0</v>
      </c>
      <c r="AC41" s="225">
        <f>IF(AC33-101&lt;&gt;LoanSaleHeld,0,SUM($D40:AC40)*LoanSalePercent)</f>
        <v>0</v>
      </c>
      <c r="AD41" s="225">
        <f>IF(AD33-101&lt;&gt;LoanSaleHeld,0,SUM($D40:AD40)*LoanSalePercent)</f>
        <v>0</v>
      </c>
      <c r="AE41" s="225">
        <f>IF(AE33-101&lt;&gt;LoanSaleHeld,0,SUM($D40:AE40)*LoanSalePercent)</f>
        <v>0</v>
      </c>
      <c r="AF41" s="225">
        <f>IF(AF33-101&lt;&gt;LoanSaleHeld,0,SUM($D40:AF40)*LoanSalePercent)</f>
        <v>0</v>
      </c>
      <c r="AG41" s="225">
        <f>IF(AG33-101&lt;&gt;LoanSaleHeld,0,SUM($D40:AG40)*LoanSalePercent)</f>
        <v>0</v>
      </c>
      <c r="AH41" s="225">
        <f>IF(AH33-101&lt;&gt;LoanSaleHeld,0,SUM($D40:AH40)*LoanSalePercent)</f>
        <v>0</v>
      </c>
      <c r="AI41" s="225">
        <f>IF(AI33-101&lt;&gt;LoanSaleHeld,0,SUM($D40:AI40)*LoanSalePercent)</f>
        <v>0</v>
      </c>
      <c r="AJ41" s="225">
        <f>IF(AJ33-101&lt;&gt;LoanSaleHeld,0,SUM($D40:AJ40)*LoanSalePercent)</f>
        <v>0</v>
      </c>
      <c r="AK41" s="225">
        <f>IF(AK33-101&lt;&gt;LoanSaleHeld,0,SUM($D40:AK40)*LoanSalePercent)</f>
        <v>0</v>
      </c>
      <c r="AL41" s="225">
        <f>IF(AL33-101&lt;&gt;LoanSaleHeld,0,SUM($D40:AL40)*LoanSalePercent)</f>
        <v>0</v>
      </c>
      <c r="AM41" s="225">
        <f>IF(AM33-101&lt;&gt;LoanSaleHeld,0,SUM($D40:AM40)*LoanSalePercent)</f>
        <v>0</v>
      </c>
      <c r="AN41" s="225">
        <f>IF(AN33-101&lt;&gt;LoanSaleHeld,0,SUM($D40:AN40)*LoanSalePercent)</f>
        <v>0</v>
      </c>
      <c r="AO41" s="225">
        <f>IF(AO33-101&lt;&gt;LoanSaleHeld,0,SUM($D40:AO40)*LoanSalePercent)</f>
        <v>0</v>
      </c>
      <c r="AP41" s="225">
        <f>IF(AP33-101&lt;&gt;LoanSaleHeld,0,SUM($D40:AP40)*LoanSalePercent)</f>
        <v>0</v>
      </c>
      <c r="AQ41" s="225">
        <f>IF(AQ33-101&lt;&gt;LoanSaleHeld,0,SUM($D40:AQ40)*LoanSalePercent)</f>
        <v>0</v>
      </c>
      <c r="AR41" s="225">
        <f>IF(AR33-101&lt;&gt;LoanSaleHeld,0,SUM($D40:AR40)*LoanSalePercent)</f>
        <v>0</v>
      </c>
      <c r="AS41" s="225">
        <f>IF(AS33-101&lt;&gt;LoanSaleHeld,0,SUM($D40:AS40)*LoanSalePercent)</f>
        <v>0</v>
      </c>
      <c r="AT41" s="225">
        <f>IF(AT33-101&lt;&gt;LoanSaleHeld,0,SUM($D40:AT40)*LoanSalePercent)</f>
        <v>0</v>
      </c>
      <c r="AU41" s="225">
        <f>IF(AU33-101&lt;&gt;LoanSaleHeld,0,SUM($D40:AU40)*LoanSalePercent)</f>
        <v>0</v>
      </c>
      <c r="AV41" s="225">
        <f>IF(AV33-101&lt;&gt;LoanSaleHeld,0,SUM($D40:AV40)*LoanSalePercent)</f>
        <v>0</v>
      </c>
      <c r="AW41" s="225">
        <f>IF(AW33-101&lt;&gt;LoanSaleHeld,0,SUM($D40:AW40)*LoanSalePercent)</f>
        <v>0</v>
      </c>
      <c r="AX41" s="225">
        <f>IF(AX33-101&lt;&gt;LoanSaleHeld,0,SUM($D40:AX40)*LoanSalePercent)</f>
        <v>0</v>
      </c>
      <c r="AY41" s="225">
        <f>IF(AY33-101&lt;&gt;LoanSaleHeld,0,SUM($D40:AY40)*LoanSalePercent)</f>
        <v>0</v>
      </c>
      <c r="AZ41" s="225">
        <f>IF(AZ33-101&lt;&gt;LoanSaleHeld,0,SUM($D40:AZ40)*LoanSalePercent)</f>
        <v>0</v>
      </c>
      <c r="BA41" s="225">
        <f>IF(BA33-101&lt;&gt;LoanSaleHeld,0,SUM($D40:BA40)*LoanSalePercent)</f>
        <v>0</v>
      </c>
      <c r="BB41" s="225">
        <f>IF(BB33-101&lt;&gt;LoanSaleHeld,0,SUM($D40:BB40)*LoanSalePercent)</f>
        <v>0</v>
      </c>
      <c r="BC41" s="225">
        <f>IF(BC33-101&lt;&gt;LoanSaleHeld,0,SUM($D40:BC40)*LoanSalePercent)</f>
        <v>0</v>
      </c>
      <c r="BD41" s="225">
        <f>IF(BD33-101&lt;&gt;LoanSaleHeld,0,SUM($D40:BD40)*LoanSalePercent)</f>
        <v>0</v>
      </c>
      <c r="BE41" s="225">
        <f>IF(BE33-101&lt;&gt;LoanSaleHeld,0,SUM($D40:BE40)*LoanSalePercent)</f>
        <v>0</v>
      </c>
      <c r="BF41" s="225">
        <f>IF(BF33-101&lt;&gt;LoanSaleHeld,0,SUM($D40:BF40)*LoanSalePercent)</f>
        <v>0</v>
      </c>
      <c r="BG41" s="225">
        <f>IF(BG33-101&lt;&gt;LoanSaleHeld,0,SUM($D40:BG40)*LoanSalePercent)</f>
        <v>0</v>
      </c>
      <c r="BH41" s="225">
        <f>IF(BH33-101&lt;&gt;LoanSaleHeld,0,SUM($D40:BH40)*LoanSalePercent)</f>
        <v>0</v>
      </c>
      <c r="BI41" s="225">
        <f>IF(BI33-101&lt;&gt;LoanSaleHeld,0,SUM($D40:BI40)*LoanSalePercent)</f>
        <v>0</v>
      </c>
      <c r="BJ41" s="225">
        <f>IF(BJ33-101&lt;&gt;LoanSaleHeld,0,SUM($D40:BJ40)*LoanSalePercent)</f>
        <v>0</v>
      </c>
      <c r="BK41" s="225">
        <f>IF(BK33-101&lt;&gt;LoanSaleHeld,0,SUM($D40:BK40)*LoanSalePercent)</f>
        <v>0</v>
      </c>
    </row>
    <row r="42" spans="1:63" ht="7.8" x14ac:dyDescent="0.15">
      <c r="A42" s="204">
        <f t="shared" ref="A42" si="722">A33+1</f>
        <v>5</v>
      </c>
      <c r="B42" s="192"/>
      <c r="C42" s="192"/>
      <c r="D42" s="192"/>
      <c r="E42" s="192"/>
      <c r="F42" s="192"/>
      <c r="G42" s="192"/>
      <c r="H42" s="195">
        <v>101</v>
      </c>
      <c r="I42" s="196">
        <f t="shared" ref="I42" si="723">IF(I43=0,0,H42+1)</f>
        <v>102</v>
      </c>
      <c r="J42" s="196">
        <f t="shared" ref="J42" si="724">IF(J43=0,0,I42+1)</f>
        <v>103</v>
      </c>
      <c r="K42" s="196">
        <f t="shared" ref="K42" si="725">IF(K43=0,0,J42+1)</f>
        <v>104</v>
      </c>
      <c r="L42" s="196">
        <f t="shared" ref="L42" si="726">IF(L43=0,0,K42+1)</f>
        <v>105</v>
      </c>
      <c r="M42" s="196">
        <f t="shared" ref="M42" si="727">IF(M43=0,0,L42+1)</f>
        <v>106</v>
      </c>
      <c r="N42" s="196">
        <f t="shared" ref="N42" si="728">IF(N43=0,0,M42+1)</f>
        <v>107</v>
      </c>
      <c r="O42" s="196">
        <f t="shared" ref="O42" si="729">IF(O43=0,0,N42+1)</f>
        <v>108</v>
      </c>
      <c r="P42" s="196">
        <f t="shared" ref="P42" si="730">IF(P43=0,0,O42+1)</f>
        <v>109</v>
      </c>
      <c r="Q42" s="196">
        <f t="shared" ref="Q42" si="731">IF(Q43=0,0,P42+1)</f>
        <v>110</v>
      </c>
      <c r="R42" s="196">
        <f t="shared" ref="R42" si="732">IF(R43=0,0,Q42+1)</f>
        <v>111</v>
      </c>
      <c r="S42" s="196">
        <f t="shared" ref="S42" si="733">IF(S43=0,0,R42+1)</f>
        <v>112</v>
      </c>
      <c r="T42" s="196">
        <f t="shared" ref="T42" si="734">IF(T43=0,0,S42+1)</f>
        <v>113</v>
      </c>
      <c r="U42" s="196">
        <f t="shared" ref="U42" si="735">IF(U43=0,0,T42+1)</f>
        <v>114</v>
      </c>
      <c r="V42" s="196">
        <f t="shared" ref="V42" si="736">IF(V43=0,0,U42+1)</f>
        <v>115</v>
      </c>
      <c r="W42" s="196">
        <f t="shared" ref="W42" si="737">IF(W43=0,0,V42+1)</f>
        <v>116</v>
      </c>
      <c r="X42" s="196">
        <f t="shared" ref="X42" si="738">IF(X43=0,0,W42+1)</f>
        <v>117</v>
      </c>
      <c r="Y42" s="196">
        <f t="shared" ref="Y42" si="739">IF(Y43=0,0,X42+1)</f>
        <v>118</v>
      </c>
      <c r="Z42" s="196">
        <f t="shared" ref="Z42" si="740">IF(Z43=0,0,Y42+1)</f>
        <v>119</v>
      </c>
      <c r="AA42" s="196">
        <f t="shared" ref="AA42" si="741">IF(AA43=0,0,Z42+1)</f>
        <v>0</v>
      </c>
      <c r="AB42" s="196">
        <f t="shared" ref="AB42" si="742">IF(AB43=0,0,AA42+1)</f>
        <v>0</v>
      </c>
      <c r="AC42" s="196">
        <f t="shared" ref="AC42" si="743">IF(AC43=0,0,AB42+1)</f>
        <v>0</v>
      </c>
      <c r="AD42" s="196">
        <f t="shared" ref="AD42" si="744">IF(AD43=0,0,AC42+1)</f>
        <v>0</v>
      </c>
      <c r="AE42" s="196">
        <f t="shared" ref="AE42" si="745">IF(AE43=0,0,AD42+1)</f>
        <v>0</v>
      </c>
      <c r="AF42" s="196">
        <f t="shared" ref="AF42" si="746">IF(AF43=0,0,AE42+1)</f>
        <v>0</v>
      </c>
      <c r="AG42" s="196">
        <f t="shared" ref="AG42" si="747">IF(AG43=0,0,AF42+1)</f>
        <v>0</v>
      </c>
      <c r="AH42" s="196">
        <f t="shared" ref="AH42" si="748">IF(AH43=0,0,AG42+1)</f>
        <v>0</v>
      </c>
      <c r="AI42" s="196">
        <f t="shared" ref="AI42" si="749">IF(AI43=0,0,AH42+1)</f>
        <v>0</v>
      </c>
      <c r="AJ42" s="196">
        <f t="shared" ref="AJ42" si="750">IF(AJ43=0,0,AI42+1)</f>
        <v>0</v>
      </c>
      <c r="AK42" s="196">
        <f t="shared" ref="AK42" si="751">IF(AK43=0,0,AJ42+1)</f>
        <v>0</v>
      </c>
      <c r="AL42" s="196">
        <f t="shared" ref="AL42" si="752">IF(AL43=0,0,AK42+1)</f>
        <v>0</v>
      </c>
      <c r="AM42" s="196">
        <f t="shared" ref="AM42" si="753">IF(AM43=0,0,AL42+1)</f>
        <v>0</v>
      </c>
      <c r="AN42" s="196">
        <f t="shared" ref="AN42" si="754">IF(AN43=0,0,AM42+1)</f>
        <v>0</v>
      </c>
      <c r="AO42" s="196">
        <f t="shared" ref="AO42" si="755">IF(AO43=0,0,AN42+1)</f>
        <v>0</v>
      </c>
      <c r="AP42" s="196">
        <f t="shared" ref="AP42" si="756">IF(AP43=0,0,AO42+1)</f>
        <v>0</v>
      </c>
      <c r="AQ42" s="196">
        <f t="shared" ref="AQ42" si="757">IF(AQ43=0,0,AP42+1)</f>
        <v>0</v>
      </c>
      <c r="AR42" s="196">
        <f t="shared" ref="AR42" si="758">IF(AR43=0,0,AQ42+1)</f>
        <v>0</v>
      </c>
      <c r="AS42" s="196">
        <f t="shared" ref="AS42" si="759">IF(AS43=0,0,AR42+1)</f>
        <v>0</v>
      </c>
      <c r="AT42" s="196">
        <f t="shared" ref="AT42" si="760">IF(AT43=0,0,AS42+1)</f>
        <v>0</v>
      </c>
      <c r="AU42" s="196">
        <f t="shared" ref="AU42" si="761">IF(AU43=0,0,AT42+1)</f>
        <v>0</v>
      </c>
      <c r="AV42" s="196">
        <f t="shared" ref="AV42" si="762">IF(AV43=0,0,AU42+1)</f>
        <v>0</v>
      </c>
      <c r="AW42" s="196">
        <f t="shared" ref="AW42" si="763">IF(AW43=0,0,AV42+1)</f>
        <v>0</v>
      </c>
      <c r="AX42" s="196">
        <f t="shared" ref="AX42" si="764">IF(AX43=0,0,AW42+1)</f>
        <v>0</v>
      </c>
      <c r="AY42" s="196">
        <f t="shared" ref="AY42" si="765">IF(AY43=0,0,AX42+1)</f>
        <v>0</v>
      </c>
      <c r="AZ42" s="196">
        <f t="shared" ref="AZ42" si="766">IF(AZ43=0,0,AY42+1)</f>
        <v>0</v>
      </c>
      <c r="BA42" s="196">
        <f t="shared" ref="BA42" si="767">IF(BA43=0,0,AZ42+1)</f>
        <v>0</v>
      </c>
      <c r="BB42" s="196">
        <f t="shared" ref="BB42" si="768">IF(BB43=0,0,BA42+1)</f>
        <v>0</v>
      </c>
      <c r="BC42" s="196">
        <f t="shared" ref="BC42" si="769">IF(BC43=0,0,BB42+1)</f>
        <v>0</v>
      </c>
      <c r="BD42" s="196">
        <f t="shared" ref="BD42" si="770">IF(BD43=0,0,BC42+1)</f>
        <v>0</v>
      </c>
      <c r="BE42" s="196">
        <f t="shared" ref="BE42" si="771">IF(BE43=0,0,BD42+1)</f>
        <v>0</v>
      </c>
      <c r="BF42" s="196">
        <f t="shared" ref="BF42" si="772">IF(BF43=0,0,BE42+1)</f>
        <v>0</v>
      </c>
      <c r="BG42" s="196">
        <f t="shared" ref="BG42" si="773">IF(BG43=0,0,BF42+1)</f>
        <v>0</v>
      </c>
      <c r="BH42" s="196">
        <f t="shared" ref="BH42" si="774">IF(BH43=0,0,BG42+1)</f>
        <v>0</v>
      </c>
      <c r="BI42" s="196">
        <f t="shared" ref="BI42" si="775">IF(BI43=0,0,BH42+1)</f>
        <v>0</v>
      </c>
      <c r="BJ42" s="196">
        <f t="shared" ref="BJ42" si="776">IF(BJ43=0,0,BI42+1)</f>
        <v>0</v>
      </c>
      <c r="BK42" s="196">
        <f t="shared" ref="BK42" si="777">IF(BK43=0,0,BJ42+1)</f>
        <v>0</v>
      </c>
    </row>
    <row r="43" spans="1:63" ht="7.8" x14ac:dyDescent="0.15">
      <c r="A43" s="216" t="s">
        <v>178</v>
      </c>
      <c r="B43" s="192"/>
      <c r="C43" s="192"/>
      <c r="D43" s="192"/>
      <c r="E43" s="192"/>
      <c r="F43" s="192"/>
      <c r="G43" s="192"/>
      <c r="H43" s="217">
        <f>LoanSize</f>
        <v>25</v>
      </c>
      <c r="I43" s="215">
        <f>IF(H43-H46&lt;=0.1,0,H43-H46)</f>
        <v>23.811105455869676</v>
      </c>
      <c r="J43" s="215">
        <f t="shared" ref="J43:BK43" si="778">IF(I43-I46&lt;=0.1,0,I43-I46)</f>
        <v>22.602891375397235</v>
      </c>
      <c r="K43" s="215">
        <f t="shared" si="778"/>
        <v>21.375043816117113</v>
      </c>
      <c r="L43" s="215">
        <f t="shared" si="778"/>
        <v>20.127243733998689</v>
      </c>
      <c r="M43" s="215">
        <f t="shared" si="778"/>
        <v>18.859166900545844</v>
      </c>
      <c r="N43" s="215">
        <f t="shared" si="778"/>
        <v>17.570483818549388</v>
      </c>
      <c r="O43" s="215">
        <f t="shared" si="778"/>
        <v>16.260859636470489</v>
      </c>
      <c r="P43" s="215">
        <f t="shared" si="778"/>
        <v>14.929954061432809</v>
      </c>
      <c r="Q43" s="215">
        <f t="shared" si="778"/>
        <v>13.577421270800768</v>
      </c>
      <c r="R43" s="215">
        <f t="shared" si="778"/>
        <v>12.202909822320954</v>
      </c>
      <c r="S43" s="215">
        <f t="shared" si="778"/>
        <v>10.806062562803344</v>
      </c>
      <c r="T43" s="215">
        <f t="shared" si="778"/>
        <v>9.3865165353185738</v>
      </c>
      <c r="U43" s="215">
        <f t="shared" si="778"/>
        <v>7.9439028848871756</v>
      </c>
      <c r="V43" s="215">
        <f t="shared" si="778"/>
        <v>6.4778467626362666</v>
      </c>
      <c r="W43" s="215">
        <f t="shared" si="778"/>
        <v>4.987967228398781</v>
      </c>
      <c r="X43" s="215">
        <f t="shared" si="778"/>
        <v>3.4738771517299361</v>
      </c>
      <c r="Y43" s="215">
        <f t="shared" si="778"/>
        <v>1.9351831113152225</v>
      </c>
      <c r="Z43" s="215">
        <f t="shared" si="778"/>
        <v>0.37148529274376973</v>
      </c>
      <c r="AA43" s="215">
        <f t="shared" si="778"/>
        <v>0</v>
      </c>
      <c r="AB43" s="215">
        <f t="shared" si="778"/>
        <v>0</v>
      </c>
      <c r="AC43" s="215">
        <f t="shared" si="778"/>
        <v>0</v>
      </c>
      <c r="AD43" s="215">
        <f t="shared" si="778"/>
        <v>0</v>
      </c>
      <c r="AE43" s="215">
        <f t="shared" si="778"/>
        <v>0</v>
      </c>
      <c r="AF43" s="215">
        <f t="shared" si="778"/>
        <v>0</v>
      </c>
      <c r="AG43" s="215">
        <f t="shared" si="778"/>
        <v>0</v>
      </c>
      <c r="AH43" s="215">
        <f t="shared" si="778"/>
        <v>0</v>
      </c>
      <c r="AI43" s="215">
        <f t="shared" si="778"/>
        <v>0</v>
      </c>
      <c r="AJ43" s="215">
        <f t="shared" si="778"/>
        <v>0</v>
      </c>
      <c r="AK43" s="215">
        <f t="shared" si="778"/>
        <v>0</v>
      </c>
      <c r="AL43" s="215">
        <f t="shared" si="778"/>
        <v>0</v>
      </c>
      <c r="AM43" s="215">
        <f t="shared" si="778"/>
        <v>0</v>
      </c>
      <c r="AN43" s="215">
        <f t="shared" si="778"/>
        <v>0</v>
      </c>
      <c r="AO43" s="215">
        <f t="shared" si="778"/>
        <v>0</v>
      </c>
      <c r="AP43" s="215">
        <f t="shared" si="778"/>
        <v>0</v>
      </c>
      <c r="AQ43" s="215">
        <f t="shared" si="778"/>
        <v>0</v>
      </c>
      <c r="AR43" s="215">
        <f t="shared" si="778"/>
        <v>0</v>
      </c>
      <c r="AS43" s="215">
        <f t="shared" si="778"/>
        <v>0</v>
      </c>
      <c r="AT43" s="215">
        <f t="shared" si="778"/>
        <v>0</v>
      </c>
      <c r="AU43" s="215">
        <f t="shared" si="778"/>
        <v>0</v>
      </c>
      <c r="AV43" s="215">
        <f t="shared" si="778"/>
        <v>0</v>
      </c>
      <c r="AW43" s="215">
        <f t="shared" si="778"/>
        <v>0</v>
      </c>
      <c r="AX43" s="215">
        <f t="shared" si="778"/>
        <v>0</v>
      </c>
      <c r="AY43" s="215">
        <f t="shared" si="778"/>
        <v>0</v>
      </c>
      <c r="AZ43" s="215">
        <f t="shared" si="778"/>
        <v>0</v>
      </c>
      <c r="BA43" s="215">
        <f t="shared" si="778"/>
        <v>0</v>
      </c>
      <c r="BB43" s="215">
        <f t="shared" si="778"/>
        <v>0</v>
      </c>
      <c r="BC43" s="215">
        <f t="shared" si="778"/>
        <v>0</v>
      </c>
      <c r="BD43" s="215">
        <f t="shared" si="778"/>
        <v>0</v>
      </c>
      <c r="BE43" s="215">
        <f t="shared" si="778"/>
        <v>0</v>
      </c>
      <c r="BF43" s="215">
        <f t="shared" si="778"/>
        <v>0</v>
      </c>
      <c r="BG43" s="215">
        <f t="shared" si="778"/>
        <v>0</v>
      </c>
      <c r="BH43" s="215">
        <f t="shared" si="778"/>
        <v>0</v>
      </c>
      <c r="BI43" s="215">
        <f t="shared" si="778"/>
        <v>0</v>
      </c>
      <c r="BJ43" s="215">
        <f t="shared" si="778"/>
        <v>0</v>
      </c>
      <c r="BK43" s="215">
        <f t="shared" si="778"/>
        <v>0</v>
      </c>
    </row>
    <row r="44" spans="1:63" ht="7.8" x14ac:dyDescent="0.15">
      <c r="A44" s="218" t="s">
        <v>179</v>
      </c>
      <c r="B44" s="192"/>
      <c r="C44" s="192"/>
      <c r="D44" s="192"/>
      <c r="E44" s="192"/>
      <c r="F44" s="192"/>
      <c r="G44" s="192"/>
      <c r="H44" s="219">
        <f>IF(H43=0,0,PMT(INDEX(LoanCohortRate,1),LoanTerm, -LoanSize))</f>
        <v>1.5951445441303251</v>
      </c>
      <c r="I44" s="222">
        <f t="shared" ref="I44" si="779">IF(I43=0,0, H44)</f>
        <v>1.5951445441303251</v>
      </c>
      <c r="J44" s="222">
        <f t="shared" ref="J44" si="780">IF(J43=0,0, I44)</f>
        <v>1.5951445441303251</v>
      </c>
      <c r="K44" s="222">
        <f t="shared" ref="K44" si="781">IF(K43=0,0, J44)</f>
        <v>1.5951445441303251</v>
      </c>
      <c r="L44" s="222">
        <f t="shared" ref="L44" si="782">IF(L43=0,0, K44)</f>
        <v>1.5951445441303251</v>
      </c>
      <c r="M44" s="222">
        <f t="shared" ref="M44" si="783">IF(M43=0,0, L44)</f>
        <v>1.5951445441303251</v>
      </c>
      <c r="N44" s="222">
        <f t="shared" ref="N44" si="784">IF(N43=0,0, M44)</f>
        <v>1.5951445441303251</v>
      </c>
      <c r="O44" s="222">
        <f t="shared" ref="O44" si="785">IF(O43=0,0, N44)</f>
        <v>1.5951445441303251</v>
      </c>
      <c r="P44" s="222">
        <f t="shared" ref="P44" si="786">IF(P43=0,0, O44)</f>
        <v>1.5951445441303251</v>
      </c>
      <c r="Q44" s="222">
        <f t="shared" ref="Q44" si="787">IF(Q43=0,0, P44)</f>
        <v>1.5951445441303251</v>
      </c>
      <c r="R44" s="222">
        <f t="shared" ref="R44" si="788">IF(R43=0,0, Q44)</f>
        <v>1.5951445441303251</v>
      </c>
      <c r="S44" s="222">
        <f t="shared" ref="S44" si="789">IF(S43=0,0, R44)</f>
        <v>1.5951445441303251</v>
      </c>
      <c r="T44" s="222">
        <f t="shared" ref="T44" si="790">IF(T43=0,0, S44)</f>
        <v>1.5951445441303251</v>
      </c>
      <c r="U44" s="222">
        <f t="shared" ref="U44" si="791">IF(U43=0,0, T44)</f>
        <v>1.5951445441303251</v>
      </c>
      <c r="V44" s="222">
        <f t="shared" ref="V44" si="792">IF(V43=0,0, U44)</f>
        <v>1.5951445441303251</v>
      </c>
      <c r="W44" s="222">
        <f t="shared" ref="W44" si="793">IF(W43=0,0, V44)</f>
        <v>1.5951445441303251</v>
      </c>
      <c r="X44" s="222">
        <f t="shared" ref="X44" si="794">IF(X43=0,0, W44)</f>
        <v>1.5951445441303251</v>
      </c>
      <c r="Y44" s="222">
        <f t="shared" ref="Y44" si="795">IF(Y43=0,0, X44)</f>
        <v>1.5951445441303251</v>
      </c>
      <c r="Z44" s="222">
        <f t="shared" ref="Z44" si="796">IF(Z43=0,0, Y44)</f>
        <v>1.5951445441303251</v>
      </c>
      <c r="AA44" s="222">
        <f t="shared" ref="AA44" si="797">IF(AA43=0,0, Z44)</f>
        <v>0</v>
      </c>
      <c r="AB44" s="222">
        <f t="shared" ref="AB44" si="798">IF(AB43=0,0, AA44)</f>
        <v>0</v>
      </c>
      <c r="AC44" s="222">
        <f t="shared" ref="AC44" si="799">IF(AC43=0,0, AB44)</f>
        <v>0</v>
      </c>
      <c r="AD44" s="222">
        <f t="shared" ref="AD44" si="800">IF(AD43=0,0, AC44)</f>
        <v>0</v>
      </c>
      <c r="AE44" s="222">
        <f t="shared" ref="AE44" si="801">IF(AE43=0,0, AD44)</f>
        <v>0</v>
      </c>
      <c r="AF44" s="222">
        <f t="shared" ref="AF44" si="802">IF(AF43=0,0, AE44)</f>
        <v>0</v>
      </c>
      <c r="AG44" s="222">
        <f t="shared" ref="AG44" si="803">IF(AG43=0,0, AF44)</f>
        <v>0</v>
      </c>
      <c r="AH44" s="222">
        <f t="shared" ref="AH44" si="804">IF(AH43=0,0, AG44)</f>
        <v>0</v>
      </c>
      <c r="AI44" s="222">
        <f t="shared" ref="AI44" si="805">IF(AI43=0,0, AH44)</f>
        <v>0</v>
      </c>
      <c r="AJ44" s="222">
        <f t="shared" ref="AJ44" si="806">IF(AJ43=0,0, AI44)</f>
        <v>0</v>
      </c>
      <c r="AK44" s="222">
        <f t="shared" ref="AK44" si="807">IF(AK43=0,0, AJ44)</f>
        <v>0</v>
      </c>
      <c r="AL44" s="222">
        <f t="shared" ref="AL44" si="808">IF(AL43=0,0, AK44)</f>
        <v>0</v>
      </c>
      <c r="AM44" s="222">
        <f t="shared" ref="AM44" si="809">IF(AM43=0,0, AL44)</f>
        <v>0</v>
      </c>
      <c r="AN44" s="222">
        <f t="shared" ref="AN44" si="810">IF(AN43=0,0, AM44)</f>
        <v>0</v>
      </c>
      <c r="AO44" s="222">
        <f t="shared" ref="AO44" si="811">IF(AO43=0,0, AN44)</f>
        <v>0</v>
      </c>
      <c r="AP44" s="222">
        <f t="shared" ref="AP44" si="812">IF(AP43=0,0, AO44)</f>
        <v>0</v>
      </c>
      <c r="AQ44" s="222">
        <f t="shared" ref="AQ44" si="813">IF(AQ43=0,0, AP44)</f>
        <v>0</v>
      </c>
      <c r="AR44" s="222">
        <f t="shared" ref="AR44" si="814">IF(AR43=0,0, AQ44)</f>
        <v>0</v>
      </c>
      <c r="AS44" s="222">
        <f t="shared" ref="AS44" si="815">IF(AS43=0,0, AR44)</f>
        <v>0</v>
      </c>
      <c r="AT44" s="222">
        <f t="shared" ref="AT44" si="816">IF(AT43=0,0, AS44)</f>
        <v>0</v>
      </c>
      <c r="AU44" s="222">
        <f t="shared" ref="AU44" si="817">IF(AU43=0,0, AT44)</f>
        <v>0</v>
      </c>
      <c r="AV44" s="222">
        <f t="shared" ref="AV44" si="818">IF(AV43=0,0, AU44)</f>
        <v>0</v>
      </c>
      <c r="AW44" s="222">
        <f t="shared" ref="AW44" si="819">IF(AW43=0,0, AV44)</f>
        <v>0</v>
      </c>
      <c r="AX44" s="222">
        <f t="shared" ref="AX44" si="820">IF(AX43=0,0, AW44)</f>
        <v>0</v>
      </c>
      <c r="AY44" s="222">
        <f t="shared" ref="AY44" si="821">IF(AY43=0,0, AX44)</f>
        <v>0</v>
      </c>
      <c r="AZ44" s="222">
        <f t="shared" ref="AZ44" si="822">IF(AZ43=0,0, AY44)</f>
        <v>0</v>
      </c>
      <c r="BA44" s="222">
        <f t="shared" ref="BA44" si="823">IF(BA43=0,0, AZ44)</f>
        <v>0</v>
      </c>
      <c r="BB44" s="222">
        <f t="shared" ref="BB44" si="824">IF(BB43=0,0, BA44)</f>
        <v>0</v>
      </c>
      <c r="BC44" s="222">
        <f t="shared" ref="BC44" si="825">IF(BC43=0,0, BB44)</f>
        <v>0</v>
      </c>
      <c r="BD44" s="222">
        <f t="shared" ref="BD44" si="826">IF(BD43=0,0, BC44)</f>
        <v>0</v>
      </c>
      <c r="BE44" s="222">
        <f t="shared" ref="BE44" si="827">IF(BE43=0,0, BD44)</f>
        <v>0</v>
      </c>
      <c r="BF44" s="222">
        <f t="shared" ref="BF44" si="828">IF(BF43=0,0, BE44)</f>
        <v>0</v>
      </c>
      <c r="BG44" s="222">
        <f t="shared" ref="BG44" si="829">IF(BG43=0,0, BF44)</f>
        <v>0</v>
      </c>
      <c r="BH44" s="222">
        <f t="shared" ref="BH44" si="830">IF(BH43=0,0, BG44)</f>
        <v>0</v>
      </c>
      <c r="BI44" s="222">
        <f t="shared" ref="BI44" si="831">IF(BI43=0,0, BH44)</f>
        <v>0</v>
      </c>
      <c r="BJ44" s="222">
        <f t="shared" ref="BJ44" si="832">IF(BJ43=0,0, BI44)</f>
        <v>0</v>
      </c>
      <c r="BK44" s="222">
        <f t="shared" ref="BK44" si="833">IF(BK43=0,0, BJ44)</f>
        <v>0</v>
      </c>
    </row>
    <row r="45" spans="1:63" ht="7.8" x14ac:dyDescent="0.15">
      <c r="A45" s="218" t="s">
        <v>180</v>
      </c>
      <c r="B45" s="192"/>
      <c r="C45" s="192"/>
      <c r="D45" s="192"/>
      <c r="E45" s="192"/>
      <c r="F45" s="192"/>
      <c r="G45" s="192"/>
      <c r="H45" s="220" cm="1">
        <f t="array" ref="H45">H43*INDEX(LoanCohortRate,$A42)</f>
        <v>0.40625</v>
      </c>
      <c r="I45" s="221" cm="1">
        <f t="array" ref="I45">I43*INDEX(LoanCohortRate,$A42)</f>
        <v>0.38693046365788225</v>
      </c>
      <c r="J45" s="221" cm="1">
        <f t="array" ref="J45">J43*INDEX(LoanCohortRate,$A42)</f>
        <v>0.36729698485020507</v>
      </c>
      <c r="K45" s="221" cm="1">
        <f t="array" ref="K45">K43*INDEX(LoanCohortRate,$A42)</f>
        <v>0.34734446201190311</v>
      </c>
      <c r="L45" s="221" cm="1">
        <f t="array" ref="L45">L43*INDEX(LoanCohortRate,$A42)</f>
        <v>0.3270677106774787</v>
      </c>
      <c r="M45" s="221" cm="1">
        <f t="array" ref="M45">M43*INDEX(LoanCohortRate,$A42)</f>
        <v>0.30646146213386999</v>
      </c>
      <c r="N45" s="221" cm="1">
        <f t="array" ref="N45">N43*INDEX(LoanCohortRate,$A42)</f>
        <v>0.28552036205142756</v>
      </c>
      <c r="O45" s="221" cm="1">
        <f t="array" ref="O45">O43*INDEX(LoanCohortRate,$A42)</f>
        <v>0.26423896909264544</v>
      </c>
      <c r="P45" s="221" cm="1">
        <f t="array" ref="P45">P43*INDEX(LoanCohortRate,$A42)</f>
        <v>0.24261175349828315</v>
      </c>
      <c r="Q45" s="221" cm="1">
        <f t="array" ref="Q45">Q43*INDEX(LoanCohortRate,$A42)</f>
        <v>0.22063309565051248</v>
      </c>
      <c r="R45" s="221" cm="1">
        <f t="array" ref="R45">R43*INDEX(LoanCohortRate,$A42)</f>
        <v>0.19829728461271551</v>
      </c>
      <c r="S45" s="221" cm="1">
        <f t="array" ref="S45">S43*INDEX(LoanCohortRate,$A42)</f>
        <v>0.17559851664555434</v>
      </c>
      <c r="T45" s="221" cm="1">
        <f t="array" ref="T45">T43*INDEX(LoanCohortRate,$A42)</f>
        <v>0.15253089369892683</v>
      </c>
      <c r="U45" s="221" cm="1">
        <f t="array" ref="U45">U43*INDEX(LoanCohortRate,$A42)</f>
        <v>0.1290884218794166</v>
      </c>
      <c r="V45" s="221" cm="1">
        <f t="array" ref="V45">V43*INDEX(LoanCohortRate,$A42)</f>
        <v>0.10526500989283934</v>
      </c>
      <c r="W45" s="221" cm="1">
        <f t="array" ref="W45">W43*INDEX(LoanCohortRate,$A42)</f>
        <v>8.1054467461480192E-2</v>
      </c>
      <c r="X45" s="221" cm="1">
        <f t="array" ref="X45">X43*INDEX(LoanCohortRate,$A42)</f>
        <v>5.6450503715611465E-2</v>
      </c>
      <c r="Y45" s="221" cm="1">
        <f t="array" ref="Y45">Y43*INDEX(LoanCohortRate,$A42)</f>
        <v>3.1446725558872367E-2</v>
      </c>
      <c r="Z45" s="221" cm="1">
        <f t="array" ref="Z45">Z43*INDEX(LoanCohortRate,$A42)</f>
        <v>6.0366360070862584E-3</v>
      </c>
      <c r="AA45" s="221" cm="1">
        <f t="array" ref="AA45">AA43*INDEX(LoanCohortRate,$A42)</f>
        <v>0</v>
      </c>
      <c r="AB45" s="221" cm="1">
        <f t="array" ref="AB45">AB43*INDEX(LoanCohortRate,$A42)</f>
        <v>0</v>
      </c>
      <c r="AC45" s="221" cm="1">
        <f t="array" ref="AC45">AC43*INDEX(LoanCohortRate,$A42)</f>
        <v>0</v>
      </c>
      <c r="AD45" s="221" cm="1">
        <f t="array" ref="AD45">AD43*INDEX(LoanCohortRate,$A42)</f>
        <v>0</v>
      </c>
      <c r="AE45" s="221" cm="1">
        <f t="array" ref="AE45">AE43*INDEX(LoanCohortRate,$A42)</f>
        <v>0</v>
      </c>
      <c r="AF45" s="221" cm="1">
        <f t="array" ref="AF45">AF43*INDEX(LoanCohortRate,$A42)</f>
        <v>0</v>
      </c>
      <c r="AG45" s="221" cm="1">
        <f t="array" ref="AG45">AG43*INDEX(LoanCohortRate,$A42)</f>
        <v>0</v>
      </c>
      <c r="AH45" s="221" cm="1">
        <f t="array" ref="AH45">AH43*INDEX(LoanCohortRate,$A42)</f>
        <v>0</v>
      </c>
      <c r="AI45" s="221" cm="1">
        <f t="array" ref="AI45">AI43*INDEX(LoanCohortRate,$A42)</f>
        <v>0</v>
      </c>
      <c r="AJ45" s="221" cm="1">
        <f t="array" ref="AJ45">AJ43*INDEX(LoanCohortRate,$A42)</f>
        <v>0</v>
      </c>
      <c r="AK45" s="221" cm="1">
        <f t="array" ref="AK45">AK43*INDEX(LoanCohortRate,$A42)</f>
        <v>0</v>
      </c>
      <c r="AL45" s="221" cm="1">
        <f t="array" ref="AL45">AL43*INDEX(LoanCohortRate,$A42)</f>
        <v>0</v>
      </c>
      <c r="AM45" s="221" cm="1">
        <f t="array" ref="AM45">AM43*INDEX(LoanCohortRate,$A42)</f>
        <v>0</v>
      </c>
      <c r="AN45" s="221" cm="1">
        <f t="array" ref="AN45">AN43*INDEX(LoanCohortRate,$A42)</f>
        <v>0</v>
      </c>
      <c r="AO45" s="221" cm="1">
        <f t="array" ref="AO45">AO43*INDEX(LoanCohortRate,$A42)</f>
        <v>0</v>
      </c>
      <c r="AP45" s="221" cm="1">
        <f t="array" ref="AP45">AP43*INDEX(LoanCohortRate,$A42)</f>
        <v>0</v>
      </c>
      <c r="AQ45" s="221" cm="1">
        <f t="array" ref="AQ45">AQ43*INDEX(LoanCohortRate,$A42)</f>
        <v>0</v>
      </c>
      <c r="AR45" s="221" cm="1">
        <f t="array" ref="AR45">AR43*INDEX(LoanCohortRate,$A42)</f>
        <v>0</v>
      </c>
      <c r="AS45" s="221" cm="1">
        <f t="array" ref="AS45">AS43*INDEX(LoanCohortRate,$A42)</f>
        <v>0</v>
      </c>
      <c r="AT45" s="221" cm="1">
        <f t="array" ref="AT45">AT43*INDEX(LoanCohortRate,$A42)</f>
        <v>0</v>
      </c>
      <c r="AU45" s="221" cm="1">
        <f t="array" ref="AU45">AU43*INDEX(LoanCohortRate,$A42)</f>
        <v>0</v>
      </c>
      <c r="AV45" s="221" cm="1">
        <f t="array" ref="AV45">AV43*INDEX(LoanCohortRate,$A42)</f>
        <v>0</v>
      </c>
      <c r="AW45" s="221" cm="1">
        <f t="array" ref="AW45">AW43*INDEX(LoanCohortRate,$A42)</f>
        <v>0</v>
      </c>
      <c r="AX45" s="221" cm="1">
        <f t="array" ref="AX45">AX43*INDEX(LoanCohortRate,$A42)</f>
        <v>0</v>
      </c>
      <c r="AY45" s="221" cm="1">
        <f t="array" ref="AY45">AY43*INDEX(LoanCohortRate,$A42)</f>
        <v>0</v>
      </c>
      <c r="AZ45" s="221" cm="1">
        <f t="array" ref="AZ45">AZ43*INDEX(LoanCohortRate,$A42)</f>
        <v>0</v>
      </c>
      <c r="BA45" s="221" cm="1">
        <f t="array" ref="BA45">BA43*INDEX(LoanCohortRate,$A42)</f>
        <v>0</v>
      </c>
      <c r="BB45" s="221" cm="1">
        <f t="array" ref="BB45">BB43*INDEX(LoanCohortRate,$A42)</f>
        <v>0</v>
      </c>
      <c r="BC45" s="221" cm="1">
        <f t="array" ref="BC45">BC43*INDEX(LoanCohortRate,$A42)</f>
        <v>0</v>
      </c>
      <c r="BD45" s="221" cm="1">
        <f t="array" ref="BD45">BD43*INDEX(LoanCohortRate,$A42)</f>
        <v>0</v>
      </c>
      <c r="BE45" s="221" cm="1">
        <f t="array" ref="BE45">BE43*INDEX(LoanCohortRate,$A42)</f>
        <v>0</v>
      </c>
      <c r="BF45" s="221" cm="1">
        <f t="array" ref="BF45">BF43*INDEX(LoanCohortRate,$A42)</f>
        <v>0</v>
      </c>
      <c r="BG45" s="221" cm="1">
        <f t="array" ref="BG45">BG43*INDEX(LoanCohortRate,$A42)</f>
        <v>0</v>
      </c>
      <c r="BH45" s="221" cm="1">
        <f t="array" ref="BH45">BH43*INDEX(LoanCohortRate,$A42)</f>
        <v>0</v>
      </c>
      <c r="BI45" s="221" cm="1">
        <f t="array" ref="BI45">BI43*INDEX(LoanCohortRate,$A42)</f>
        <v>0</v>
      </c>
      <c r="BJ45" s="221" cm="1">
        <f t="array" ref="BJ45">BJ43*INDEX(LoanCohortRate,$A42)</f>
        <v>0</v>
      </c>
      <c r="BK45" s="221" cm="1">
        <f t="array" ref="BK45">BK43*INDEX(LoanCohortRate,$A42)</f>
        <v>0</v>
      </c>
    </row>
    <row r="46" spans="1:63" ht="7.8" x14ac:dyDescent="0.15">
      <c r="A46" s="218" t="s">
        <v>177</v>
      </c>
      <c r="B46" s="192"/>
      <c r="C46" s="192"/>
      <c r="D46" s="192"/>
      <c r="E46" s="192"/>
      <c r="F46" s="192"/>
      <c r="G46" s="192"/>
      <c r="H46" s="219">
        <f>H44-H45</f>
        <v>1.1888945441303251</v>
      </c>
      <c r="I46" s="222">
        <f t="shared" ref="I46:BK46" si="834">I44-I45</f>
        <v>1.2082140804724428</v>
      </c>
      <c r="J46" s="222">
        <f t="shared" si="834"/>
        <v>1.2278475592801201</v>
      </c>
      <c r="K46" s="222">
        <f t="shared" si="834"/>
        <v>1.2478000821184221</v>
      </c>
      <c r="L46" s="222">
        <f t="shared" si="834"/>
        <v>1.2680768334528465</v>
      </c>
      <c r="M46" s="222">
        <f t="shared" si="834"/>
        <v>1.2886830819964552</v>
      </c>
      <c r="N46" s="222">
        <f t="shared" si="834"/>
        <v>1.3096241820788976</v>
      </c>
      <c r="O46" s="222">
        <f t="shared" si="834"/>
        <v>1.3309055750376797</v>
      </c>
      <c r="P46" s="222">
        <f t="shared" si="834"/>
        <v>1.3525327906320419</v>
      </c>
      <c r="Q46" s="222">
        <f t="shared" si="834"/>
        <v>1.3745114484798127</v>
      </c>
      <c r="R46" s="222">
        <f t="shared" si="834"/>
        <v>1.3968472595176096</v>
      </c>
      <c r="S46" s="222">
        <f t="shared" si="834"/>
        <v>1.4195460274847709</v>
      </c>
      <c r="T46" s="222">
        <f t="shared" si="834"/>
        <v>1.4426136504313982</v>
      </c>
      <c r="U46" s="222">
        <f t="shared" si="834"/>
        <v>1.4660561222509085</v>
      </c>
      <c r="V46" s="222">
        <f t="shared" si="834"/>
        <v>1.4898795342374858</v>
      </c>
      <c r="W46" s="222">
        <f t="shared" si="834"/>
        <v>1.514090076668845</v>
      </c>
      <c r="X46" s="222">
        <f t="shared" si="834"/>
        <v>1.5386940404147136</v>
      </c>
      <c r="Y46" s="222">
        <f t="shared" si="834"/>
        <v>1.5636978185714527</v>
      </c>
      <c r="Z46" s="222">
        <f t="shared" si="834"/>
        <v>1.5891079081232389</v>
      </c>
      <c r="AA46" s="222">
        <f t="shared" si="834"/>
        <v>0</v>
      </c>
      <c r="AB46" s="222">
        <f t="shared" si="834"/>
        <v>0</v>
      </c>
      <c r="AC46" s="222">
        <f t="shared" si="834"/>
        <v>0</v>
      </c>
      <c r="AD46" s="222">
        <f t="shared" si="834"/>
        <v>0</v>
      </c>
      <c r="AE46" s="222">
        <f t="shared" si="834"/>
        <v>0</v>
      </c>
      <c r="AF46" s="222">
        <f t="shared" si="834"/>
        <v>0</v>
      </c>
      <c r="AG46" s="222">
        <f t="shared" si="834"/>
        <v>0</v>
      </c>
      <c r="AH46" s="222">
        <f t="shared" si="834"/>
        <v>0</v>
      </c>
      <c r="AI46" s="222">
        <f t="shared" si="834"/>
        <v>0</v>
      </c>
      <c r="AJ46" s="222">
        <f t="shared" si="834"/>
        <v>0</v>
      </c>
      <c r="AK46" s="222">
        <f t="shared" si="834"/>
        <v>0</v>
      </c>
      <c r="AL46" s="222">
        <f t="shared" si="834"/>
        <v>0</v>
      </c>
      <c r="AM46" s="222">
        <f t="shared" si="834"/>
        <v>0</v>
      </c>
      <c r="AN46" s="222">
        <f t="shared" si="834"/>
        <v>0</v>
      </c>
      <c r="AO46" s="222">
        <f t="shared" si="834"/>
        <v>0</v>
      </c>
      <c r="AP46" s="222">
        <f t="shared" si="834"/>
        <v>0</v>
      </c>
      <c r="AQ46" s="222">
        <f t="shared" si="834"/>
        <v>0</v>
      </c>
      <c r="AR46" s="222">
        <f t="shared" si="834"/>
        <v>0</v>
      </c>
      <c r="AS46" s="222">
        <f t="shared" si="834"/>
        <v>0</v>
      </c>
      <c r="AT46" s="222">
        <f t="shared" si="834"/>
        <v>0</v>
      </c>
      <c r="AU46" s="222">
        <f t="shared" si="834"/>
        <v>0</v>
      </c>
      <c r="AV46" s="222">
        <f t="shared" si="834"/>
        <v>0</v>
      </c>
      <c r="AW46" s="222">
        <f t="shared" si="834"/>
        <v>0</v>
      </c>
      <c r="AX46" s="222">
        <f t="shared" si="834"/>
        <v>0</v>
      </c>
      <c r="AY46" s="222">
        <f t="shared" si="834"/>
        <v>0</v>
      </c>
      <c r="AZ46" s="222">
        <f t="shared" si="834"/>
        <v>0</v>
      </c>
      <c r="BA46" s="222">
        <f t="shared" si="834"/>
        <v>0</v>
      </c>
      <c r="BB46" s="222">
        <f t="shared" si="834"/>
        <v>0</v>
      </c>
      <c r="BC46" s="222">
        <f t="shared" si="834"/>
        <v>0</v>
      </c>
      <c r="BD46" s="222">
        <f t="shared" si="834"/>
        <v>0</v>
      </c>
      <c r="BE46" s="222">
        <f t="shared" si="834"/>
        <v>0</v>
      </c>
      <c r="BF46" s="222">
        <f t="shared" si="834"/>
        <v>0</v>
      </c>
      <c r="BG46" s="222">
        <f t="shared" si="834"/>
        <v>0</v>
      </c>
      <c r="BH46" s="222">
        <f t="shared" si="834"/>
        <v>0</v>
      </c>
      <c r="BI46" s="222">
        <f t="shared" si="834"/>
        <v>0</v>
      </c>
      <c r="BJ46" s="222">
        <f t="shared" si="834"/>
        <v>0</v>
      </c>
      <c r="BK46" s="222">
        <f t="shared" si="834"/>
        <v>0</v>
      </c>
    </row>
    <row r="47" spans="1:63" ht="7.8" x14ac:dyDescent="0.15">
      <c r="A47" s="205" t="s">
        <v>7</v>
      </c>
      <c r="B47" s="192"/>
      <c r="C47" s="192"/>
      <c r="D47" s="192"/>
      <c r="E47" s="192"/>
      <c r="F47" s="192"/>
      <c r="G47" s="192"/>
      <c r="H47" s="214" cm="1">
        <f t="array" ref="H47">INDEX(LoanOriginations,$A42)</f>
        <v>102.01505006249995</v>
      </c>
      <c r="I47" s="199">
        <f t="shared" ref="I47:AN47" si="835">H47*(1-MitigateDelinquency*MitigateChargeoff)  *  IF(I42=0,0,IF(I42-102=LoanSaleHeld,0.6,1))</f>
        <v>101.91303501243745</v>
      </c>
      <c r="J47" s="199">
        <f t="shared" si="835"/>
        <v>101.811121977425</v>
      </c>
      <c r="K47" s="199">
        <f t="shared" si="835"/>
        <v>101.70931085544758</v>
      </c>
      <c r="L47" s="199">
        <f t="shared" si="835"/>
        <v>60.964560926755276</v>
      </c>
      <c r="M47" s="199">
        <f t="shared" si="835"/>
        <v>60.90359636582852</v>
      </c>
      <c r="N47" s="199">
        <f t="shared" si="835"/>
        <v>60.842692769462694</v>
      </c>
      <c r="O47" s="199">
        <f t="shared" si="835"/>
        <v>60.781850076693232</v>
      </c>
      <c r="P47" s="199">
        <f t="shared" si="835"/>
        <v>60.721068226616538</v>
      </c>
      <c r="Q47" s="199">
        <f t="shared" si="835"/>
        <v>60.660347158389918</v>
      </c>
      <c r="R47" s="199">
        <f t="shared" si="835"/>
        <v>60.599686811231528</v>
      </c>
      <c r="S47" s="199">
        <f t="shared" si="835"/>
        <v>60.539087124420298</v>
      </c>
      <c r="T47" s="199">
        <f t="shared" si="835"/>
        <v>60.47854803729588</v>
      </c>
      <c r="U47" s="199">
        <f t="shared" si="835"/>
        <v>60.418069489258585</v>
      </c>
      <c r="V47" s="199">
        <f t="shared" si="835"/>
        <v>60.357651419769326</v>
      </c>
      <c r="W47" s="199">
        <f t="shared" si="835"/>
        <v>60.297293768349554</v>
      </c>
      <c r="X47" s="199">
        <f t="shared" si="835"/>
        <v>60.236996474581204</v>
      </c>
      <c r="Y47" s="199">
        <f t="shared" si="835"/>
        <v>60.176759478106625</v>
      </c>
      <c r="Z47" s="199">
        <f t="shared" si="835"/>
        <v>60.116582718628521</v>
      </c>
      <c r="AA47" s="199">
        <f t="shared" si="835"/>
        <v>0</v>
      </c>
      <c r="AB47" s="199">
        <f t="shared" si="835"/>
        <v>0</v>
      </c>
      <c r="AC47" s="199">
        <f t="shared" si="835"/>
        <v>0</v>
      </c>
      <c r="AD47" s="199">
        <f t="shared" si="835"/>
        <v>0</v>
      </c>
      <c r="AE47" s="199">
        <f t="shared" si="835"/>
        <v>0</v>
      </c>
      <c r="AF47" s="199">
        <f t="shared" si="835"/>
        <v>0</v>
      </c>
      <c r="AG47" s="199">
        <f t="shared" si="835"/>
        <v>0</v>
      </c>
      <c r="AH47" s="199">
        <f t="shared" si="835"/>
        <v>0</v>
      </c>
      <c r="AI47" s="199">
        <f t="shared" si="835"/>
        <v>0</v>
      </c>
      <c r="AJ47" s="199">
        <f t="shared" si="835"/>
        <v>0</v>
      </c>
      <c r="AK47" s="199">
        <f t="shared" si="835"/>
        <v>0</v>
      </c>
      <c r="AL47" s="199">
        <f t="shared" si="835"/>
        <v>0</v>
      </c>
      <c r="AM47" s="199">
        <f t="shared" si="835"/>
        <v>0</v>
      </c>
      <c r="AN47" s="199">
        <f t="shared" si="835"/>
        <v>0</v>
      </c>
      <c r="AO47" s="199">
        <f t="shared" ref="AO47:BK47" si="836">AN47*(1-MitigateDelinquency*MitigateChargeoff)  *  IF(AO42=0,0,IF(AO42-102=LoanSaleHeld,0.6,1))</f>
        <v>0</v>
      </c>
      <c r="AP47" s="199">
        <f t="shared" si="836"/>
        <v>0</v>
      </c>
      <c r="AQ47" s="199">
        <f t="shared" si="836"/>
        <v>0</v>
      </c>
      <c r="AR47" s="199">
        <f t="shared" si="836"/>
        <v>0</v>
      </c>
      <c r="AS47" s="199">
        <f t="shared" si="836"/>
        <v>0</v>
      </c>
      <c r="AT47" s="199">
        <f t="shared" si="836"/>
        <v>0</v>
      </c>
      <c r="AU47" s="199">
        <f t="shared" si="836"/>
        <v>0</v>
      </c>
      <c r="AV47" s="199">
        <f t="shared" si="836"/>
        <v>0</v>
      </c>
      <c r="AW47" s="199">
        <f t="shared" si="836"/>
        <v>0</v>
      </c>
      <c r="AX47" s="199">
        <f t="shared" si="836"/>
        <v>0</v>
      </c>
      <c r="AY47" s="199">
        <f t="shared" si="836"/>
        <v>0</v>
      </c>
      <c r="AZ47" s="199">
        <f t="shared" si="836"/>
        <v>0</v>
      </c>
      <c r="BA47" s="199">
        <f t="shared" si="836"/>
        <v>0</v>
      </c>
      <c r="BB47" s="199">
        <f t="shared" si="836"/>
        <v>0</v>
      </c>
      <c r="BC47" s="199">
        <f t="shared" si="836"/>
        <v>0</v>
      </c>
      <c r="BD47" s="199">
        <f t="shared" si="836"/>
        <v>0</v>
      </c>
      <c r="BE47" s="199">
        <f t="shared" si="836"/>
        <v>0</v>
      </c>
      <c r="BF47" s="199">
        <f t="shared" si="836"/>
        <v>0</v>
      </c>
      <c r="BG47" s="199">
        <f t="shared" si="836"/>
        <v>0</v>
      </c>
      <c r="BH47" s="199">
        <f t="shared" si="836"/>
        <v>0</v>
      </c>
      <c r="BI47" s="199">
        <f t="shared" si="836"/>
        <v>0</v>
      </c>
      <c r="BJ47" s="199">
        <f t="shared" si="836"/>
        <v>0</v>
      </c>
      <c r="BK47" s="199">
        <f t="shared" si="836"/>
        <v>0</v>
      </c>
    </row>
    <row r="48" spans="1:63" ht="7.8" x14ac:dyDescent="0.15">
      <c r="A48" s="207" t="s">
        <v>96</v>
      </c>
      <c r="B48" s="192"/>
      <c r="C48" s="192"/>
      <c r="D48" s="192"/>
      <c r="E48" s="192"/>
      <c r="F48" s="192"/>
      <c r="G48" s="192"/>
      <c r="H48" s="223">
        <f>H45*H47</f>
        <v>41.443614087890609</v>
      </c>
      <c r="I48" s="200">
        <f t="shared" ref="I48" si="837">I45*I47</f>
        <v>39.433257890144411</v>
      </c>
      <c r="J48" s="200">
        <f t="shared" ref="J48" si="838">J45*J47</f>
        <v>37.394918126524651</v>
      </c>
      <c r="K48" s="200">
        <f t="shared" ref="K48" si="839">K45*K47</f>
        <v>35.328165860686859</v>
      </c>
      <c r="L48" s="200">
        <f t="shared" ref="L48" si="840">L45*L47</f>
        <v>19.939539374771517</v>
      </c>
      <c r="M48" s="200">
        <f t="shared" ref="M48" si="841">M45*M47</f>
        <v>18.66460519148286</v>
      </c>
      <c r="N48" s="200">
        <f t="shared" ref="N48" si="842">N45*N47</f>
        <v>17.371827667720762</v>
      </c>
      <c r="O48" s="200">
        <f t="shared" ref="O48" si="843">O45*O47</f>
        <v>16.060933403809152</v>
      </c>
      <c r="P48" s="200">
        <f t="shared" ref="P48" si="844">P45*P47</f>
        <v>14.731644836748325</v>
      </c>
      <c r="Q48" s="200">
        <f t="shared" ref="Q48" si="845">Q45*Q47</f>
        <v>13.383680176790335</v>
      </c>
      <c r="R48" s="200">
        <f t="shared" ref="R48" si="846">R45*R47</f>
        <v>12.016753343048201</v>
      </c>
      <c r="S48" s="200">
        <f t="shared" ref="S48" si="847">S45*S47</f>
        <v>10.630573898124183</v>
      </c>
      <c r="T48" s="200">
        <f t="shared" ref="T48" si="848">T45*T47</f>
        <v>9.2248469817422176</v>
      </c>
      <c r="U48" s="200">
        <f t="shared" ref="U48" si="849">U45*U47</f>
        <v>7.7992732433693206</v>
      </c>
      <c r="V48" s="200">
        <f t="shared" ref="V48" si="850">V45*V47</f>
        <v>6.3535487738105667</v>
      </c>
      <c r="W48" s="200">
        <f t="shared" ref="W48" si="851">W45*W47</f>
        <v>4.8873650357620013</v>
      </c>
      <c r="X48" s="200">
        <f t="shared" ref="X48" si="852">X45*X47</f>
        <v>3.4004087933056208</v>
      </c>
      <c r="Y48" s="200">
        <f t="shared" ref="Y48" si="853">Y45*Y47</f>
        <v>1.8923620403302905</v>
      </c>
      <c r="Z48" s="200">
        <f t="shared" ref="Z48" si="854">Z45*Z47</f>
        <v>0.36290192786225245</v>
      </c>
      <c r="AA48" s="200">
        <f t="shared" ref="AA48" si="855">AA45*AA47</f>
        <v>0</v>
      </c>
      <c r="AB48" s="200">
        <f t="shared" ref="AB48" si="856">AB45*AB47</f>
        <v>0</v>
      </c>
      <c r="AC48" s="200">
        <f t="shared" ref="AC48" si="857">AC45*AC47</f>
        <v>0</v>
      </c>
      <c r="AD48" s="200">
        <f t="shared" ref="AD48" si="858">AD45*AD47</f>
        <v>0</v>
      </c>
      <c r="AE48" s="200">
        <f t="shared" ref="AE48" si="859">AE45*AE47</f>
        <v>0</v>
      </c>
      <c r="AF48" s="200">
        <f t="shared" ref="AF48" si="860">AF45*AF47</f>
        <v>0</v>
      </c>
      <c r="AG48" s="200">
        <f t="shared" ref="AG48" si="861">AG45*AG47</f>
        <v>0</v>
      </c>
      <c r="AH48" s="200">
        <f t="shared" ref="AH48" si="862">AH45*AH47</f>
        <v>0</v>
      </c>
      <c r="AI48" s="200">
        <f t="shared" ref="AI48" si="863">AI45*AI47</f>
        <v>0</v>
      </c>
      <c r="AJ48" s="200">
        <f t="shared" ref="AJ48" si="864">AJ45*AJ47</f>
        <v>0</v>
      </c>
      <c r="AK48" s="200">
        <f t="shared" ref="AK48" si="865">AK45*AK47</f>
        <v>0</v>
      </c>
      <c r="AL48" s="200">
        <f t="shared" ref="AL48" si="866">AL45*AL47</f>
        <v>0</v>
      </c>
      <c r="AM48" s="200">
        <f t="shared" ref="AM48" si="867">AM45*AM47</f>
        <v>0</v>
      </c>
      <c r="AN48" s="200">
        <f t="shared" ref="AN48" si="868">AN45*AN47</f>
        <v>0</v>
      </c>
      <c r="AO48" s="200">
        <f t="shared" ref="AO48" si="869">AO45*AO47</f>
        <v>0</v>
      </c>
      <c r="AP48" s="200">
        <f t="shared" ref="AP48" si="870">AP45*AP47</f>
        <v>0</v>
      </c>
      <c r="AQ48" s="200">
        <f t="shared" ref="AQ48" si="871">AQ45*AQ47</f>
        <v>0</v>
      </c>
      <c r="AR48" s="200">
        <f t="shared" ref="AR48" si="872">AR45*AR47</f>
        <v>0</v>
      </c>
      <c r="AS48" s="200">
        <f t="shared" ref="AS48" si="873">AS45*AS47</f>
        <v>0</v>
      </c>
      <c r="AT48" s="200">
        <f t="shared" ref="AT48" si="874">AT45*AT47</f>
        <v>0</v>
      </c>
      <c r="AU48" s="200">
        <f t="shared" ref="AU48" si="875">AU45*AU47</f>
        <v>0</v>
      </c>
      <c r="AV48" s="200">
        <f t="shared" ref="AV48" si="876">AV45*AV47</f>
        <v>0</v>
      </c>
      <c r="AW48" s="200">
        <f t="shared" ref="AW48" si="877">AW45*AW47</f>
        <v>0</v>
      </c>
      <c r="AX48" s="200">
        <f t="shared" ref="AX48" si="878">AX45*AX47</f>
        <v>0</v>
      </c>
      <c r="AY48" s="200">
        <f t="shared" ref="AY48" si="879">AY45*AY47</f>
        <v>0</v>
      </c>
      <c r="AZ48" s="200">
        <f t="shared" ref="AZ48" si="880">AZ45*AZ47</f>
        <v>0</v>
      </c>
      <c r="BA48" s="200">
        <f t="shared" ref="BA48" si="881">BA45*BA47</f>
        <v>0</v>
      </c>
      <c r="BB48" s="200">
        <f t="shared" ref="BB48" si="882">BB45*BB47</f>
        <v>0</v>
      </c>
      <c r="BC48" s="200">
        <f t="shared" ref="BC48" si="883">BC45*BC47</f>
        <v>0</v>
      </c>
      <c r="BD48" s="200">
        <f t="shared" ref="BD48" si="884">BD45*BD47</f>
        <v>0</v>
      </c>
      <c r="BE48" s="200">
        <f t="shared" ref="BE48" si="885">BE45*BE47</f>
        <v>0</v>
      </c>
      <c r="BF48" s="200">
        <f t="shared" ref="BF48" si="886">BF45*BF47</f>
        <v>0</v>
      </c>
      <c r="BG48" s="200">
        <f t="shared" ref="BG48" si="887">BG45*BG47</f>
        <v>0</v>
      </c>
      <c r="BH48" s="200">
        <f t="shared" ref="BH48" si="888">BH45*BH47</f>
        <v>0</v>
      </c>
      <c r="BI48" s="200">
        <f t="shared" ref="BI48" si="889">BI45*BI47</f>
        <v>0</v>
      </c>
      <c r="BJ48" s="200">
        <f t="shared" ref="BJ48" si="890">BJ45*BJ47</f>
        <v>0</v>
      </c>
      <c r="BK48" s="200">
        <f t="shared" ref="BK48" si="891">BK45*BK47</f>
        <v>0</v>
      </c>
    </row>
    <row r="49" spans="1:63" ht="7.8" x14ac:dyDescent="0.15">
      <c r="A49" s="206" t="s">
        <v>97</v>
      </c>
      <c r="B49" s="192"/>
      <c r="C49" s="192"/>
      <c r="D49" s="192"/>
      <c r="E49" s="192"/>
      <c r="F49" s="192"/>
      <c r="G49" s="192"/>
      <c r="H49" s="223">
        <f>H46*H47</f>
        <v>121.28513643848818</v>
      </c>
      <c r="I49" s="200">
        <f>I46*I47</f>
        <v>123.13276388570799</v>
      </c>
      <c r="J49" s="200">
        <f t="shared" ref="J49:BK49" si="892">J46*J47</f>
        <v>125.00853762755189</v>
      </c>
      <c r="K49" s="200">
        <f t="shared" si="892"/>
        <v>126.91288643763561</v>
      </c>
      <c r="L49" s="200">
        <f t="shared" si="892"/>
        <v>77.307747372842968</v>
      </c>
      <c r="M49" s="200">
        <f t="shared" si="892"/>
        <v>78.485434269384001</v>
      </c>
      <c r="N49" s="200">
        <f t="shared" si="892"/>
        <v>79.681061753685242</v>
      </c>
      <c r="O49" s="200">
        <f t="shared" si="892"/>
        <v>80.894903128175443</v>
      </c>
      <c r="P49" s="200">
        <f t="shared" si="892"/>
        <v>82.127235858704282</v>
      </c>
      <c r="Q49" s="200">
        <f t="shared" si="892"/>
        <v>83.378341637966813</v>
      </c>
      <c r="R49" s="200">
        <f t="shared" si="892"/>
        <v>84.648506449894185</v>
      </c>
      <c r="S49" s="200">
        <f t="shared" si="892"/>
        <v>85.938020635025282</v>
      </c>
      <c r="T49" s="200">
        <f t="shared" si="892"/>
        <v>87.24717895687408</v>
      </c>
      <c r="U49" s="200">
        <f t="shared" si="892"/>
        <v>88.576280669308375</v>
      </c>
      <c r="V49" s="200">
        <f t="shared" si="892"/>
        <v>89.92562958495445</v>
      </c>
      <c r="W49" s="200">
        <f t="shared" si="892"/>
        <v>91.29553414464425</v>
      </c>
      <c r="X49" s="200">
        <f t="shared" si="892"/>
        <v>92.686307487920217</v>
      </c>
      <c r="Y49" s="200">
        <f t="shared" si="892"/>
        <v>94.098267524614329</v>
      </c>
      <c r="Z49" s="200">
        <f t="shared" si="892"/>
        <v>95.531737007517421</v>
      </c>
      <c r="AA49" s="200">
        <f t="shared" si="892"/>
        <v>0</v>
      </c>
      <c r="AB49" s="200">
        <f t="shared" si="892"/>
        <v>0</v>
      </c>
      <c r="AC49" s="200">
        <f t="shared" si="892"/>
        <v>0</v>
      </c>
      <c r="AD49" s="200">
        <f t="shared" si="892"/>
        <v>0</v>
      </c>
      <c r="AE49" s="200">
        <f t="shared" si="892"/>
        <v>0</v>
      </c>
      <c r="AF49" s="200">
        <f t="shared" si="892"/>
        <v>0</v>
      </c>
      <c r="AG49" s="200">
        <f t="shared" si="892"/>
        <v>0</v>
      </c>
      <c r="AH49" s="200">
        <f t="shared" si="892"/>
        <v>0</v>
      </c>
      <c r="AI49" s="200">
        <f t="shared" si="892"/>
        <v>0</v>
      </c>
      <c r="AJ49" s="200">
        <f t="shared" si="892"/>
        <v>0</v>
      </c>
      <c r="AK49" s="200">
        <f t="shared" si="892"/>
        <v>0</v>
      </c>
      <c r="AL49" s="200">
        <f t="shared" si="892"/>
        <v>0</v>
      </c>
      <c r="AM49" s="200">
        <f t="shared" si="892"/>
        <v>0</v>
      </c>
      <c r="AN49" s="200">
        <f t="shared" si="892"/>
        <v>0</v>
      </c>
      <c r="AO49" s="200">
        <f t="shared" si="892"/>
        <v>0</v>
      </c>
      <c r="AP49" s="200">
        <f t="shared" si="892"/>
        <v>0</v>
      </c>
      <c r="AQ49" s="200">
        <f t="shared" si="892"/>
        <v>0</v>
      </c>
      <c r="AR49" s="200">
        <f t="shared" si="892"/>
        <v>0</v>
      </c>
      <c r="AS49" s="200">
        <f t="shared" si="892"/>
        <v>0</v>
      </c>
      <c r="AT49" s="200">
        <f t="shared" si="892"/>
        <v>0</v>
      </c>
      <c r="AU49" s="200">
        <f t="shared" si="892"/>
        <v>0</v>
      </c>
      <c r="AV49" s="200">
        <f t="shared" si="892"/>
        <v>0</v>
      </c>
      <c r="AW49" s="200">
        <f t="shared" si="892"/>
        <v>0</v>
      </c>
      <c r="AX49" s="200">
        <f t="shared" si="892"/>
        <v>0</v>
      </c>
      <c r="AY49" s="200">
        <f t="shared" si="892"/>
        <v>0</v>
      </c>
      <c r="AZ49" s="200">
        <f t="shared" si="892"/>
        <v>0</v>
      </c>
      <c r="BA49" s="200">
        <f t="shared" si="892"/>
        <v>0</v>
      </c>
      <c r="BB49" s="200">
        <f t="shared" si="892"/>
        <v>0</v>
      </c>
      <c r="BC49" s="200">
        <f t="shared" si="892"/>
        <v>0</v>
      </c>
      <c r="BD49" s="200">
        <f t="shared" si="892"/>
        <v>0</v>
      </c>
      <c r="BE49" s="200">
        <f t="shared" si="892"/>
        <v>0</v>
      </c>
      <c r="BF49" s="200">
        <f t="shared" si="892"/>
        <v>0</v>
      </c>
      <c r="BG49" s="200">
        <f t="shared" si="892"/>
        <v>0</v>
      </c>
      <c r="BH49" s="200">
        <f t="shared" si="892"/>
        <v>0</v>
      </c>
      <c r="BI49" s="200">
        <f t="shared" si="892"/>
        <v>0</v>
      </c>
      <c r="BJ49" s="200">
        <f t="shared" si="892"/>
        <v>0</v>
      </c>
      <c r="BK49" s="200">
        <f t="shared" si="892"/>
        <v>0</v>
      </c>
    </row>
    <row r="50" spans="1:63" ht="7.8" x14ac:dyDescent="0.15">
      <c r="A50" s="208" t="s">
        <v>203</v>
      </c>
      <c r="B50" s="192"/>
      <c r="C50" s="192"/>
      <c r="D50" s="192"/>
      <c r="E50" s="192"/>
      <c r="F50" s="192"/>
      <c r="G50" s="192"/>
      <c r="H50" s="224">
        <f>IF(H42-101&lt;&gt;LoanSaleHeld,0,SUM($D49:H49)*LoanSalePercent)</f>
        <v>0</v>
      </c>
      <c r="I50" s="225">
        <f>IF(I42-101&lt;&gt;LoanSaleHeld,0,SUM($D49:I49)*LoanSalePercent)</f>
        <v>0</v>
      </c>
      <c r="J50" s="225">
        <f>IF(J42-101&lt;&gt;LoanSaleHeld,0,SUM($D49:J49)*LoanSalePercent)</f>
        <v>0</v>
      </c>
      <c r="K50" s="225">
        <f>IF(K42-101&lt;&gt;LoanSaleHeld,0,SUM($D49:K49)*LoanSalePercent)</f>
        <v>198.53572975575349</v>
      </c>
      <c r="L50" s="225">
        <f>IF(L42-101&lt;&gt;LoanSaleHeld,0,SUM($D49:L49)*LoanSalePercent)</f>
        <v>0</v>
      </c>
      <c r="M50" s="225">
        <f>IF(M42-101&lt;&gt;LoanSaleHeld,0,SUM($D49:M49)*LoanSalePercent)</f>
        <v>0</v>
      </c>
      <c r="N50" s="225">
        <f>IF(N42-101&lt;&gt;LoanSaleHeld,0,SUM($D49:N49)*LoanSalePercent)</f>
        <v>0</v>
      </c>
      <c r="O50" s="225">
        <f>IF(O42-101&lt;&gt;LoanSaleHeld,0,SUM($D49:O49)*LoanSalePercent)</f>
        <v>0</v>
      </c>
      <c r="P50" s="225">
        <f>IF(P42-101&lt;&gt;LoanSaleHeld,0,SUM($D49:P49)*LoanSalePercent)</f>
        <v>0</v>
      </c>
      <c r="Q50" s="225">
        <f>IF(Q42-101&lt;&gt;LoanSaleHeld,0,SUM($D49:Q49)*LoanSalePercent)</f>
        <v>0</v>
      </c>
      <c r="R50" s="225">
        <f>IF(R42-101&lt;&gt;LoanSaleHeld,0,SUM($D49:R49)*LoanSalePercent)</f>
        <v>0</v>
      </c>
      <c r="S50" s="225">
        <f>IF(S42-101&lt;&gt;LoanSaleHeld,0,SUM($D49:S49)*LoanSalePercent)</f>
        <v>0</v>
      </c>
      <c r="T50" s="225">
        <f>IF(T42-101&lt;&gt;LoanSaleHeld,0,SUM($D49:T49)*LoanSalePercent)</f>
        <v>0</v>
      </c>
      <c r="U50" s="225">
        <f>IF(U42-101&lt;&gt;LoanSaleHeld,0,SUM($D49:U49)*LoanSalePercent)</f>
        <v>0</v>
      </c>
      <c r="V50" s="225">
        <f>IF(V42-101&lt;&gt;LoanSaleHeld,0,SUM($D49:V49)*LoanSalePercent)</f>
        <v>0</v>
      </c>
      <c r="W50" s="225">
        <f>IF(W42-101&lt;&gt;LoanSaleHeld,0,SUM($D49:W49)*LoanSalePercent)</f>
        <v>0</v>
      </c>
      <c r="X50" s="225">
        <f>IF(X42-101&lt;&gt;LoanSaleHeld,0,SUM($D49:X49)*LoanSalePercent)</f>
        <v>0</v>
      </c>
      <c r="Y50" s="225">
        <f>IF(Y42-101&lt;&gt;LoanSaleHeld,0,SUM($D49:Y49)*LoanSalePercent)</f>
        <v>0</v>
      </c>
      <c r="Z50" s="225">
        <f>IF(Z42-101&lt;&gt;LoanSaleHeld,0,SUM($D49:Z49)*LoanSalePercent)</f>
        <v>0</v>
      </c>
      <c r="AA50" s="225">
        <f>IF(AA42-101&lt;&gt;LoanSaleHeld,0,SUM($D49:AA49)*LoanSalePercent)</f>
        <v>0</v>
      </c>
      <c r="AB50" s="225">
        <f>IF(AB42-101&lt;&gt;LoanSaleHeld,0,SUM($D49:AB49)*LoanSalePercent)</f>
        <v>0</v>
      </c>
      <c r="AC50" s="225">
        <f>IF(AC42-101&lt;&gt;LoanSaleHeld,0,SUM($D49:AC49)*LoanSalePercent)</f>
        <v>0</v>
      </c>
      <c r="AD50" s="225">
        <f>IF(AD42-101&lt;&gt;LoanSaleHeld,0,SUM($D49:AD49)*LoanSalePercent)</f>
        <v>0</v>
      </c>
      <c r="AE50" s="225">
        <f>IF(AE42-101&lt;&gt;LoanSaleHeld,0,SUM($D49:AE49)*LoanSalePercent)</f>
        <v>0</v>
      </c>
      <c r="AF50" s="225">
        <f>IF(AF42-101&lt;&gt;LoanSaleHeld,0,SUM($D49:AF49)*LoanSalePercent)</f>
        <v>0</v>
      </c>
      <c r="AG50" s="225">
        <f>IF(AG42-101&lt;&gt;LoanSaleHeld,0,SUM($D49:AG49)*LoanSalePercent)</f>
        <v>0</v>
      </c>
      <c r="AH50" s="225">
        <f>IF(AH42-101&lt;&gt;LoanSaleHeld,0,SUM($D49:AH49)*LoanSalePercent)</f>
        <v>0</v>
      </c>
      <c r="AI50" s="225">
        <f>IF(AI42-101&lt;&gt;LoanSaleHeld,0,SUM($D49:AI49)*LoanSalePercent)</f>
        <v>0</v>
      </c>
      <c r="AJ50" s="225">
        <f>IF(AJ42-101&lt;&gt;LoanSaleHeld,0,SUM($D49:AJ49)*LoanSalePercent)</f>
        <v>0</v>
      </c>
      <c r="AK50" s="225">
        <f>IF(AK42-101&lt;&gt;LoanSaleHeld,0,SUM($D49:AK49)*LoanSalePercent)</f>
        <v>0</v>
      </c>
      <c r="AL50" s="225">
        <f>IF(AL42-101&lt;&gt;LoanSaleHeld,0,SUM($D49:AL49)*LoanSalePercent)</f>
        <v>0</v>
      </c>
      <c r="AM50" s="225">
        <f>IF(AM42-101&lt;&gt;LoanSaleHeld,0,SUM($D49:AM49)*LoanSalePercent)</f>
        <v>0</v>
      </c>
      <c r="AN50" s="225">
        <f>IF(AN42-101&lt;&gt;LoanSaleHeld,0,SUM($D49:AN49)*LoanSalePercent)</f>
        <v>0</v>
      </c>
      <c r="AO50" s="225">
        <f>IF(AO42-101&lt;&gt;LoanSaleHeld,0,SUM($D49:AO49)*LoanSalePercent)</f>
        <v>0</v>
      </c>
      <c r="AP50" s="225">
        <f>IF(AP42-101&lt;&gt;LoanSaleHeld,0,SUM($D49:AP49)*LoanSalePercent)</f>
        <v>0</v>
      </c>
      <c r="AQ50" s="225">
        <f>IF(AQ42-101&lt;&gt;LoanSaleHeld,0,SUM($D49:AQ49)*LoanSalePercent)</f>
        <v>0</v>
      </c>
      <c r="AR50" s="225">
        <f>IF(AR42-101&lt;&gt;LoanSaleHeld,0,SUM($D49:AR49)*LoanSalePercent)</f>
        <v>0</v>
      </c>
      <c r="AS50" s="225">
        <f>IF(AS42-101&lt;&gt;LoanSaleHeld,0,SUM($D49:AS49)*LoanSalePercent)</f>
        <v>0</v>
      </c>
      <c r="AT50" s="225">
        <f>IF(AT42-101&lt;&gt;LoanSaleHeld,0,SUM($D49:AT49)*LoanSalePercent)</f>
        <v>0</v>
      </c>
      <c r="AU50" s="225">
        <f>IF(AU42-101&lt;&gt;LoanSaleHeld,0,SUM($D49:AU49)*LoanSalePercent)</f>
        <v>0</v>
      </c>
      <c r="AV50" s="225">
        <f>IF(AV42-101&lt;&gt;LoanSaleHeld,0,SUM($D49:AV49)*LoanSalePercent)</f>
        <v>0</v>
      </c>
      <c r="AW50" s="225">
        <f>IF(AW42-101&lt;&gt;LoanSaleHeld,0,SUM($D49:AW49)*LoanSalePercent)</f>
        <v>0</v>
      </c>
      <c r="AX50" s="225">
        <f>IF(AX42-101&lt;&gt;LoanSaleHeld,0,SUM($D49:AX49)*LoanSalePercent)</f>
        <v>0</v>
      </c>
      <c r="AY50" s="225">
        <f>IF(AY42-101&lt;&gt;LoanSaleHeld,0,SUM($D49:AY49)*LoanSalePercent)</f>
        <v>0</v>
      </c>
      <c r="AZ50" s="225">
        <f>IF(AZ42-101&lt;&gt;LoanSaleHeld,0,SUM($D49:AZ49)*LoanSalePercent)</f>
        <v>0</v>
      </c>
      <c r="BA50" s="225">
        <f>IF(BA42-101&lt;&gt;LoanSaleHeld,0,SUM($D49:BA49)*LoanSalePercent)</f>
        <v>0</v>
      </c>
      <c r="BB50" s="225">
        <f>IF(BB42-101&lt;&gt;LoanSaleHeld,0,SUM($D49:BB49)*LoanSalePercent)</f>
        <v>0</v>
      </c>
      <c r="BC50" s="225">
        <f>IF(BC42-101&lt;&gt;LoanSaleHeld,0,SUM($D49:BC49)*LoanSalePercent)</f>
        <v>0</v>
      </c>
      <c r="BD50" s="225">
        <f>IF(BD42-101&lt;&gt;LoanSaleHeld,0,SUM($D49:BD49)*LoanSalePercent)</f>
        <v>0</v>
      </c>
      <c r="BE50" s="225">
        <f>IF(BE42-101&lt;&gt;LoanSaleHeld,0,SUM($D49:BE49)*LoanSalePercent)</f>
        <v>0</v>
      </c>
      <c r="BF50" s="225">
        <f>IF(BF42-101&lt;&gt;LoanSaleHeld,0,SUM($D49:BF49)*LoanSalePercent)</f>
        <v>0</v>
      </c>
      <c r="BG50" s="225">
        <f>IF(BG42-101&lt;&gt;LoanSaleHeld,0,SUM($D49:BG49)*LoanSalePercent)</f>
        <v>0</v>
      </c>
      <c r="BH50" s="225">
        <f>IF(BH42-101&lt;&gt;LoanSaleHeld,0,SUM($D49:BH49)*LoanSalePercent)</f>
        <v>0</v>
      </c>
      <c r="BI50" s="225">
        <f>IF(BI42-101&lt;&gt;LoanSaleHeld,0,SUM($D49:BI49)*LoanSalePercent)</f>
        <v>0</v>
      </c>
      <c r="BJ50" s="225">
        <f>IF(BJ42-101&lt;&gt;LoanSaleHeld,0,SUM($D49:BJ49)*LoanSalePercent)</f>
        <v>0</v>
      </c>
      <c r="BK50" s="225">
        <f>IF(BK42-101&lt;&gt;LoanSaleHeld,0,SUM($D49:BK49)*LoanSalePercent)</f>
        <v>0</v>
      </c>
    </row>
    <row r="51" spans="1:63" ht="7.8" x14ac:dyDescent="0.15">
      <c r="A51" s="204">
        <f t="shared" ref="A51" si="893">A42+1</f>
        <v>6</v>
      </c>
      <c r="B51" s="192"/>
      <c r="C51" s="192"/>
      <c r="D51" s="192"/>
      <c r="E51" s="192"/>
      <c r="F51" s="192"/>
      <c r="G51" s="192"/>
      <c r="H51" s="192"/>
      <c r="I51" s="195">
        <v>101</v>
      </c>
      <c r="J51" s="196">
        <f t="shared" ref="J51" si="894">IF(J52=0,0,I51+1)</f>
        <v>102</v>
      </c>
      <c r="K51" s="196">
        <f t="shared" ref="K51" si="895">IF(K52=0,0,J51+1)</f>
        <v>103</v>
      </c>
      <c r="L51" s="196">
        <f t="shared" ref="L51" si="896">IF(L52=0,0,K51+1)</f>
        <v>104</v>
      </c>
      <c r="M51" s="196">
        <f t="shared" ref="M51" si="897">IF(M52=0,0,L51+1)</f>
        <v>105</v>
      </c>
      <c r="N51" s="196">
        <f t="shared" ref="N51" si="898">IF(N52=0,0,M51+1)</f>
        <v>106</v>
      </c>
      <c r="O51" s="196">
        <f t="shared" ref="O51" si="899">IF(O52=0,0,N51+1)</f>
        <v>107</v>
      </c>
      <c r="P51" s="196">
        <f t="shared" ref="P51" si="900">IF(P52=0,0,O51+1)</f>
        <v>108</v>
      </c>
      <c r="Q51" s="196">
        <f t="shared" ref="Q51" si="901">IF(Q52=0,0,P51+1)</f>
        <v>109</v>
      </c>
      <c r="R51" s="196">
        <f t="shared" ref="R51" si="902">IF(R52=0,0,Q51+1)</f>
        <v>110</v>
      </c>
      <c r="S51" s="196">
        <f t="shared" ref="S51" si="903">IF(S52=0,0,R51+1)</f>
        <v>111</v>
      </c>
      <c r="T51" s="196">
        <f t="shared" ref="T51" si="904">IF(T52=0,0,S51+1)</f>
        <v>112</v>
      </c>
      <c r="U51" s="196">
        <f t="shared" ref="U51" si="905">IF(U52=0,0,T51+1)</f>
        <v>113</v>
      </c>
      <c r="V51" s="196">
        <f t="shared" ref="V51" si="906">IF(V52=0,0,U51+1)</f>
        <v>114</v>
      </c>
      <c r="W51" s="196">
        <f t="shared" ref="W51" si="907">IF(W52=0,0,V51+1)</f>
        <v>115</v>
      </c>
      <c r="X51" s="196">
        <f t="shared" ref="X51" si="908">IF(X52=0,0,W51+1)</f>
        <v>116</v>
      </c>
      <c r="Y51" s="196">
        <f t="shared" ref="Y51" si="909">IF(Y52=0,0,X51+1)</f>
        <v>117</v>
      </c>
      <c r="Z51" s="196">
        <f t="shared" ref="Z51" si="910">IF(Z52=0,0,Y51+1)</f>
        <v>118</v>
      </c>
      <c r="AA51" s="196">
        <f t="shared" ref="AA51" si="911">IF(AA52=0,0,Z51+1)</f>
        <v>119</v>
      </c>
      <c r="AB51" s="196">
        <f t="shared" ref="AB51" si="912">IF(AB52=0,0,AA51+1)</f>
        <v>0</v>
      </c>
      <c r="AC51" s="196">
        <f t="shared" ref="AC51" si="913">IF(AC52=0,0,AB51+1)</f>
        <v>0</v>
      </c>
      <c r="AD51" s="196">
        <f t="shared" ref="AD51" si="914">IF(AD52=0,0,AC51+1)</f>
        <v>0</v>
      </c>
      <c r="AE51" s="196">
        <f t="shared" ref="AE51" si="915">IF(AE52=0,0,AD51+1)</f>
        <v>0</v>
      </c>
      <c r="AF51" s="196">
        <f t="shared" ref="AF51" si="916">IF(AF52=0,0,AE51+1)</f>
        <v>0</v>
      </c>
      <c r="AG51" s="196">
        <f t="shared" ref="AG51" si="917">IF(AG52=0,0,AF51+1)</f>
        <v>0</v>
      </c>
      <c r="AH51" s="196">
        <f t="shared" ref="AH51" si="918">IF(AH52=0,0,AG51+1)</f>
        <v>0</v>
      </c>
      <c r="AI51" s="196">
        <f t="shared" ref="AI51" si="919">IF(AI52=0,0,AH51+1)</f>
        <v>0</v>
      </c>
      <c r="AJ51" s="196">
        <f t="shared" ref="AJ51" si="920">IF(AJ52=0,0,AI51+1)</f>
        <v>0</v>
      </c>
      <c r="AK51" s="196">
        <f t="shared" ref="AK51" si="921">IF(AK52=0,0,AJ51+1)</f>
        <v>0</v>
      </c>
      <c r="AL51" s="196">
        <f t="shared" ref="AL51" si="922">IF(AL52=0,0,AK51+1)</f>
        <v>0</v>
      </c>
      <c r="AM51" s="196">
        <f t="shared" ref="AM51" si="923">IF(AM52=0,0,AL51+1)</f>
        <v>0</v>
      </c>
      <c r="AN51" s="196">
        <f t="shared" ref="AN51" si="924">IF(AN52=0,0,AM51+1)</f>
        <v>0</v>
      </c>
      <c r="AO51" s="196">
        <f t="shared" ref="AO51" si="925">IF(AO52=0,0,AN51+1)</f>
        <v>0</v>
      </c>
      <c r="AP51" s="196">
        <f t="shared" ref="AP51" si="926">IF(AP52=0,0,AO51+1)</f>
        <v>0</v>
      </c>
      <c r="AQ51" s="196">
        <f t="shared" ref="AQ51" si="927">IF(AQ52=0,0,AP51+1)</f>
        <v>0</v>
      </c>
      <c r="AR51" s="196">
        <f t="shared" ref="AR51" si="928">IF(AR52=0,0,AQ51+1)</f>
        <v>0</v>
      </c>
      <c r="AS51" s="196">
        <f t="shared" ref="AS51" si="929">IF(AS52=0,0,AR51+1)</f>
        <v>0</v>
      </c>
      <c r="AT51" s="196">
        <f t="shared" ref="AT51" si="930">IF(AT52=0,0,AS51+1)</f>
        <v>0</v>
      </c>
      <c r="AU51" s="196">
        <f t="shared" ref="AU51" si="931">IF(AU52=0,0,AT51+1)</f>
        <v>0</v>
      </c>
      <c r="AV51" s="196">
        <f t="shared" ref="AV51" si="932">IF(AV52=0,0,AU51+1)</f>
        <v>0</v>
      </c>
      <c r="AW51" s="196">
        <f t="shared" ref="AW51" si="933">IF(AW52=0,0,AV51+1)</f>
        <v>0</v>
      </c>
      <c r="AX51" s="196">
        <f t="shared" ref="AX51" si="934">IF(AX52=0,0,AW51+1)</f>
        <v>0</v>
      </c>
      <c r="AY51" s="196">
        <f t="shared" ref="AY51" si="935">IF(AY52=0,0,AX51+1)</f>
        <v>0</v>
      </c>
      <c r="AZ51" s="196">
        <f t="shared" ref="AZ51" si="936">IF(AZ52=0,0,AY51+1)</f>
        <v>0</v>
      </c>
      <c r="BA51" s="196">
        <f t="shared" ref="BA51" si="937">IF(BA52=0,0,AZ51+1)</f>
        <v>0</v>
      </c>
      <c r="BB51" s="196">
        <f t="shared" ref="BB51" si="938">IF(BB52=0,0,BA51+1)</f>
        <v>0</v>
      </c>
      <c r="BC51" s="196">
        <f t="shared" ref="BC51" si="939">IF(BC52=0,0,BB51+1)</f>
        <v>0</v>
      </c>
      <c r="BD51" s="196">
        <f t="shared" ref="BD51" si="940">IF(BD52=0,0,BC51+1)</f>
        <v>0</v>
      </c>
      <c r="BE51" s="196">
        <f t="shared" ref="BE51" si="941">IF(BE52=0,0,BD51+1)</f>
        <v>0</v>
      </c>
      <c r="BF51" s="196">
        <f t="shared" ref="BF51" si="942">IF(BF52=0,0,BE51+1)</f>
        <v>0</v>
      </c>
      <c r="BG51" s="196">
        <f t="shared" ref="BG51" si="943">IF(BG52=0,0,BF51+1)</f>
        <v>0</v>
      </c>
      <c r="BH51" s="196">
        <f t="shared" ref="BH51" si="944">IF(BH52=0,0,BG51+1)</f>
        <v>0</v>
      </c>
      <c r="BI51" s="196">
        <f t="shared" ref="BI51" si="945">IF(BI52=0,0,BH51+1)</f>
        <v>0</v>
      </c>
      <c r="BJ51" s="196">
        <f t="shared" ref="BJ51" si="946">IF(BJ52=0,0,BI51+1)</f>
        <v>0</v>
      </c>
      <c r="BK51" s="196">
        <f t="shared" ref="BK51" si="947">IF(BK52=0,0,BJ51+1)</f>
        <v>0</v>
      </c>
    </row>
    <row r="52" spans="1:63" ht="7.8" x14ac:dyDescent="0.15">
      <c r="A52" s="216" t="s">
        <v>178</v>
      </c>
      <c r="B52" s="192"/>
      <c r="C52" s="192"/>
      <c r="D52" s="192"/>
      <c r="E52" s="192"/>
      <c r="F52" s="192"/>
      <c r="G52" s="192"/>
      <c r="H52" s="192"/>
      <c r="I52" s="217">
        <f>LoanSize</f>
        <v>25</v>
      </c>
      <c r="J52" s="215">
        <f>IF(I52-I55&lt;=0.1,0,I52-I55)</f>
        <v>23.811105455869676</v>
      </c>
      <c r="K52" s="215">
        <f t="shared" ref="K52:BK52" si="948">IF(J52-J55&lt;=0.1,0,J52-J55)</f>
        <v>22.602891375397235</v>
      </c>
      <c r="L52" s="215">
        <f t="shared" si="948"/>
        <v>21.375043816117113</v>
      </c>
      <c r="M52" s="215">
        <f t="shared" si="948"/>
        <v>20.127243733998689</v>
      </c>
      <c r="N52" s="215">
        <f t="shared" si="948"/>
        <v>18.859166900545844</v>
      </c>
      <c r="O52" s="215">
        <f t="shared" si="948"/>
        <v>17.570483818549388</v>
      </c>
      <c r="P52" s="215">
        <f t="shared" si="948"/>
        <v>16.260859636470489</v>
      </c>
      <c r="Q52" s="215">
        <f t="shared" si="948"/>
        <v>14.929954061432809</v>
      </c>
      <c r="R52" s="215">
        <f t="shared" si="948"/>
        <v>13.577421270800768</v>
      </c>
      <c r="S52" s="215">
        <f t="shared" si="948"/>
        <v>12.202909822320954</v>
      </c>
      <c r="T52" s="215">
        <f t="shared" si="948"/>
        <v>10.806062562803344</v>
      </c>
      <c r="U52" s="215">
        <f t="shared" si="948"/>
        <v>9.3865165353185738</v>
      </c>
      <c r="V52" s="215">
        <f t="shared" si="948"/>
        <v>7.9439028848871756</v>
      </c>
      <c r="W52" s="215">
        <f t="shared" si="948"/>
        <v>6.4778467626362666</v>
      </c>
      <c r="X52" s="215">
        <f t="shared" si="948"/>
        <v>4.987967228398781</v>
      </c>
      <c r="Y52" s="215">
        <f t="shared" si="948"/>
        <v>3.4738771517299361</v>
      </c>
      <c r="Z52" s="215">
        <f t="shared" si="948"/>
        <v>1.9351831113152225</v>
      </c>
      <c r="AA52" s="215">
        <f t="shared" si="948"/>
        <v>0.37148529274376973</v>
      </c>
      <c r="AB52" s="215">
        <f t="shared" si="948"/>
        <v>0</v>
      </c>
      <c r="AC52" s="215">
        <f t="shared" si="948"/>
        <v>0</v>
      </c>
      <c r="AD52" s="215">
        <f t="shared" si="948"/>
        <v>0</v>
      </c>
      <c r="AE52" s="215">
        <f t="shared" si="948"/>
        <v>0</v>
      </c>
      <c r="AF52" s="215">
        <f t="shared" si="948"/>
        <v>0</v>
      </c>
      <c r="AG52" s="215">
        <f t="shared" si="948"/>
        <v>0</v>
      </c>
      <c r="AH52" s="215">
        <f t="shared" si="948"/>
        <v>0</v>
      </c>
      <c r="AI52" s="215">
        <f t="shared" si="948"/>
        <v>0</v>
      </c>
      <c r="AJ52" s="215">
        <f t="shared" si="948"/>
        <v>0</v>
      </c>
      <c r="AK52" s="215">
        <f t="shared" si="948"/>
        <v>0</v>
      </c>
      <c r="AL52" s="215">
        <f t="shared" si="948"/>
        <v>0</v>
      </c>
      <c r="AM52" s="215">
        <f t="shared" si="948"/>
        <v>0</v>
      </c>
      <c r="AN52" s="215">
        <f t="shared" si="948"/>
        <v>0</v>
      </c>
      <c r="AO52" s="215">
        <f t="shared" si="948"/>
        <v>0</v>
      </c>
      <c r="AP52" s="215">
        <f t="shared" si="948"/>
        <v>0</v>
      </c>
      <c r="AQ52" s="215">
        <f t="shared" si="948"/>
        <v>0</v>
      </c>
      <c r="AR52" s="215">
        <f t="shared" si="948"/>
        <v>0</v>
      </c>
      <c r="AS52" s="215">
        <f t="shared" si="948"/>
        <v>0</v>
      </c>
      <c r="AT52" s="215">
        <f t="shared" si="948"/>
        <v>0</v>
      </c>
      <c r="AU52" s="215">
        <f t="shared" si="948"/>
        <v>0</v>
      </c>
      <c r="AV52" s="215">
        <f t="shared" si="948"/>
        <v>0</v>
      </c>
      <c r="AW52" s="215">
        <f t="shared" si="948"/>
        <v>0</v>
      </c>
      <c r="AX52" s="215">
        <f t="shared" si="948"/>
        <v>0</v>
      </c>
      <c r="AY52" s="215">
        <f t="shared" si="948"/>
        <v>0</v>
      </c>
      <c r="AZ52" s="215">
        <f t="shared" si="948"/>
        <v>0</v>
      </c>
      <c r="BA52" s="215">
        <f t="shared" si="948"/>
        <v>0</v>
      </c>
      <c r="BB52" s="215">
        <f t="shared" si="948"/>
        <v>0</v>
      </c>
      <c r="BC52" s="215">
        <f t="shared" si="948"/>
        <v>0</v>
      </c>
      <c r="BD52" s="215">
        <f t="shared" si="948"/>
        <v>0</v>
      </c>
      <c r="BE52" s="215">
        <f t="shared" si="948"/>
        <v>0</v>
      </c>
      <c r="BF52" s="215">
        <f t="shared" si="948"/>
        <v>0</v>
      </c>
      <c r="BG52" s="215">
        <f t="shared" si="948"/>
        <v>0</v>
      </c>
      <c r="BH52" s="215">
        <f t="shared" si="948"/>
        <v>0</v>
      </c>
      <c r="BI52" s="215">
        <f t="shared" si="948"/>
        <v>0</v>
      </c>
      <c r="BJ52" s="215">
        <f t="shared" si="948"/>
        <v>0</v>
      </c>
      <c r="BK52" s="215">
        <f t="shared" si="948"/>
        <v>0</v>
      </c>
    </row>
    <row r="53" spans="1:63" ht="7.8" x14ac:dyDescent="0.15">
      <c r="A53" s="218" t="s">
        <v>179</v>
      </c>
      <c r="B53" s="192"/>
      <c r="C53" s="192"/>
      <c r="D53" s="192"/>
      <c r="E53" s="192"/>
      <c r="F53" s="192"/>
      <c r="G53" s="192"/>
      <c r="H53" s="192"/>
      <c r="I53" s="219">
        <f>IF(I52=0,0,PMT(INDEX(LoanCohortRate,1),LoanTerm, -LoanSize))</f>
        <v>1.5951445441303251</v>
      </c>
      <c r="J53" s="222">
        <f t="shared" ref="J53" si="949">IF(J52=0,0, I53)</f>
        <v>1.5951445441303251</v>
      </c>
      <c r="K53" s="222">
        <f t="shared" ref="K53" si="950">IF(K52=0,0, J53)</f>
        <v>1.5951445441303251</v>
      </c>
      <c r="L53" s="222">
        <f t="shared" ref="L53" si="951">IF(L52=0,0, K53)</f>
        <v>1.5951445441303251</v>
      </c>
      <c r="M53" s="222">
        <f t="shared" ref="M53" si="952">IF(M52=0,0, L53)</f>
        <v>1.5951445441303251</v>
      </c>
      <c r="N53" s="222">
        <f t="shared" ref="N53" si="953">IF(N52=0,0, M53)</f>
        <v>1.5951445441303251</v>
      </c>
      <c r="O53" s="222">
        <f t="shared" ref="O53" si="954">IF(O52=0,0, N53)</f>
        <v>1.5951445441303251</v>
      </c>
      <c r="P53" s="222">
        <f t="shared" ref="P53" si="955">IF(P52=0,0, O53)</f>
        <v>1.5951445441303251</v>
      </c>
      <c r="Q53" s="222">
        <f t="shared" ref="Q53" si="956">IF(Q52=0,0, P53)</f>
        <v>1.5951445441303251</v>
      </c>
      <c r="R53" s="222">
        <f t="shared" ref="R53" si="957">IF(R52=0,0, Q53)</f>
        <v>1.5951445441303251</v>
      </c>
      <c r="S53" s="222">
        <f t="shared" ref="S53" si="958">IF(S52=0,0, R53)</f>
        <v>1.5951445441303251</v>
      </c>
      <c r="T53" s="222">
        <f t="shared" ref="T53" si="959">IF(T52=0,0, S53)</f>
        <v>1.5951445441303251</v>
      </c>
      <c r="U53" s="222">
        <f t="shared" ref="U53" si="960">IF(U52=0,0, T53)</f>
        <v>1.5951445441303251</v>
      </c>
      <c r="V53" s="222">
        <f t="shared" ref="V53" si="961">IF(V52=0,0, U53)</f>
        <v>1.5951445441303251</v>
      </c>
      <c r="W53" s="222">
        <f t="shared" ref="W53" si="962">IF(W52=0,0, V53)</f>
        <v>1.5951445441303251</v>
      </c>
      <c r="X53" s="222">
        <f t="shared" ref="X53" si="963">IF(X52=0,0, W53)</f>
        <v>1.5951445441303251</v>
      </c>
      <c r="Y53" s="222">
        <f t="shared" ref="Y53" si="964">IF(Y52=0,0, X53)</f>
        <v>1.5951445441303251</v>
      </c>
      <c r="Z53" s="222">
        <f t="shared" ref="Z53" si="965">IF(Z52=0,0, Y53)</f>
        <v>1.5951445441303251</v>
      </c>
      <c r="AA53" s="222">
        <f t="shared" ref="AA53" si="966">IF(AA52=0,0, Z53)</f>
        <v>1.5951445441303251</v>
      </c>
      <c r="AB53" s="222">
        <f t="shared" ref="AB53" si="967">IF(AB52=0,0, AA53)</f>
        <v>0</v>
      </c>
      <c r="AC53" s="222">
        <f t="shared" ref="AC53" si="968">IF(AC52=0,0, AB53)</f>
        <v>0</v>
      </c>
      <c r="AD53" s="222">
        <f t="shared" ref="AD53" si="969">IF(AD52=0,0, AC53)</f>
        <v>0</v>
      </c>
      <c r="AE53" s="222">
        <f t="shared" ref="AE53" si="970">IF(AE52=0,0, AD53)</f>
        <v>0</v>
      </c>
      <c r="AF53" s="222">
        <f t="shared" ref="AF53" si="971">IF(AF52=0,0, AE53)</f>
        <v>0</v>
      </c>
      <c r="AG53" s="222">
        <f t="shared" ref="AG53" si="972">IF(AG52=0,0, AF53)</f>
        <v>0</v>
      </c>
      <c r="AH53" s="222">
        <f t="shared" ref="AH53" si="973">IF(AH52=0,0, AG53)</f>
        <v>0</v>
      </c>
      <c r="AI53" s="222">
        <f t="shared" ref="AI53" si="974">IF(AI52=0,0, AH53)</f>
        <v>0</v>
      </c>
      <c r="AJ53" s="222">
        <f t="shared" ref="AJ53" si="975">IF(AJ52=0,0, AI53)</f>
        <v>0</v>
      </c>
      <c r="AK53" s="222">
        <f t="shared" ref="AK53" si="976">IF(AK52=0,0, AJ53)</f>
        <v>0</v>
      </c>
      <c r="AL53" s="222">
        <f t="shared" ref="AL53" si="977">IF(AL52=0,0, AK53)</f>
        <v>0</v>
      </c>
      <c r="AM53" s="222">
        <f t="shared" ref="AM53" si="978">IF(AM52=0,0, AL53)</f>
        <v>0</v>
      </c>
      <c r="AN53" s="222">
        <f t="shared" ref="AN53" si="979">IF(AN52=0,0, AM53)</f>
        <v>0</v>
      </c>
      <c r="AO53" s="222">
        <f t="shared" ref="AO53" si="980">IF(AO52=0,0, AN53)</f>
        <v>0</v>
      </c>
      <c r="AP53" s="222">
        <f t="shared" ref="AP53" si="981">IF(AP52=0,0, AO53)</f>
        <v>0</v>
      </c>
      <c r="AQ53" s="222">
        <f t="shared" ref="AQ53" si="982">IF(AQ52=0,0, AP53)</f>
        <v>0</v>
      </c>
      <c r="AR53" s="222">
        <f t="shared" ref="AR53" si="983">IF(AR52=0,0, AQ53)</f>
        <v>0</v>
      </c>
      <c r="AS53" s="222">
        <f t="shared" ref="AS53" si="984">IF(AS52=0,0, AR53)</f>
        <v>0</v>
      </c>
      <c r="AT53" s="222">
        <f t="shared" ref="AT53" si="985">IF(AT52=0,0, AS53)</f>
        <v>0</v>
      </c>
      <c r="AU53" s="222">
        <f t="shared" ref="AU53" si="986">IF(AU52=0,0, AT53)</f>
        <v>0</v>
      </c>
      <c r="AV53" s="222">
        <f t="shared" ref="AV53" si="987">IF(AV52=0,0, AU53)</f>
        <v>0</v>
      </c>
      <c r="AW53" s="222">
        <f t="shared" ref="AW53" si="988">IF(AW52=0,0, AV53)</f>
        <v>0</v>
      </c>
      <c r="AX53" s="222">
        <f t="shared" ref="AX53" si="989">IF(AX52=0,0, AW53)</f>
        <v>0</v>
      </c>
      <c r="AY53" s="222">
        <f t="shared" ref="AY53" si="990">IF(AY52=0,0, AX53)</f>
        <v>0</v>
      </c>
      <c r="AZ53" s="222">
        <f t="shared" ref="AZ53" si="991">IF(AZ52=0,0, AY53)</f>
        <v>0</v>
      </c>
      <c r="BA53" s="222">
        <f t="shared" ref="BA53" si="992">IF(BA52=0,0, AZ53)</f>
        <v>0</v>
      </c>
      <c r="BB53" s="222">
        <f t="shared" ref="BB53" si="993">IF(BB52=0,0, BA53)</f>
        <v>0</v>
      </c>
      <c r="BC53" s="222">
        <f t="shared" ref="BC53" si="994">IF(BC52=0,0, BB53)</f>
        <v>0</v>
      </c>
      <c r="BD53" s="222">
        <f t="shared" ref="BD53" si="995">IF(BD52=0,0, BC53)</f>
        <v>0</v>
      </c>
      <c r="BE53" s="222">
        <f t="shared" ref="BE53" si="996">IF(BE52=0,0, BD53)</f>
        <v>0</v>
      </c>
      <c r="BF53" s="222">
        <f t="shared" ref="BF53" si="997">IF(BF52=0,0, BE53)</f>
        <v>0</v>
      </c>
      <c r="BG53" s="222">
        <f t="shared" ref="BG53" si="998">IF(BG52=0,0, BF53)</f>
        <v>0</v>
      </c>
      <c r="BH53" s="222">
        <f t="shared" ref="BH53" si="999">IF(BH52=0,0, BG53)</f>
        <v>0</v>
      </c>
      <c r="BI53" s="222">
        <f t="shared" ref="BI53" si="1000">IF(BI52=0,0, BH53)</f>
        <v>0</v>
      </c>
      <c r="BJ53" s="222">
        <f t="shared" ref="BJ53" si="1001">IF(BJ52=0,0, BI53)</f>
        <v>0</v>
      </c>
      <c r="BK53" s="222">
        <f t="shared" ref="BK53" si="1002">IF(BK52=0,0, BJ53)</f>
        <v>0</v>
      </c>
    </row>
    <row r="54" spans="1:63" ht="7.8" x14ac:dyDescent="0.15">
      <c r="A54" s="218" t="s">
        <v>180</v>
      </c>
      <c r="B54" s="192"/>
      <c r="C54" s="192"/>
      <c r="D54" s="192"/>
      <c r="E54" s="192"/>
      <c r="F54" s="192"/>
      <c r="G54" s="192"/>
      <c r="H54" s="192"/>
      <c r="I54" s="220" cm="1">
        <f t="array" ref="I54">I52*INDEX(LoanCohortRate,$A51)</f>
        <v>0.40625</v>
      </c>
      <c r="J54" s="221" cm="1">
        <f t="array" ref="J54">J52*INDEX(LoanCohortRate,$A51)</f>
        <v>0.38693046365788225</v>
      </c>
      <c r="K54" s="221" cm="1">
        <f t="array" ref="K54">K52*INDEX(LoanCohortRate,$A51)</f>
        <v>0.36729698485020507</v>
      </c>
      <c r="L54" s="221" cm="1">
        <f t="array" ref="L54">L52*INDEX(LoanCohortRate,$A51)</f>
        <v>0.34734446201190311</v>
      </c>
      <c r="M54" s="221" cm="1">
        <f t="array" ref="M54">M52*INDEX(LoanCohortRate,$A51)</f>
        <v>0.3270677106774787</v>
      </c>
      <c r="N54" s="221" cm="1">
        <f t="array" ref="N54">N52*INDEX(LoanCohortRate,$A51)</f>
        <v>0.30646146213386999</v>
      </c>
      <c r="O54" s="221" cm="1">
        <f t="array" ref="O54">O52*INDEX(LoanCohortRate,$A51)</f>
        <v>0.28552036205142756</v>
      </c>
      <c r="P54" s="221" cm="1">
        <f t="array" ref="P54">P52*INDEX(LoanCohortRate,$A51)</f>
        <v>0.26423896909264544</v>
      </c>
      <c r="Q54" s="221" cm="1">
        <f t="array" ref="Q54">Q52*INDEX(LoanCohortRate,$A51)</f>
        <v>0.24261175349828315</v>
      </c>
      <c r="R54" s="221" cm="1">
        <f t="array" ref="R54">R52*INDEX(LoanCohortRate,$A51)</f>
        <v>0.22063309565051248</v>
      </c>
      <c r="S54" s="221" cm="1">
        <f t="array" ref="S54">S52*INDEX(LoanCohortRate,$A51)</f>
        <v>0.19829728461271551</v>
      </c>
      <c r="T54" s="221" cm="1">
        <f t="array" ref="T54">T52*INDEX(LoanCohortRate,$A51)</f>
        <v>0.17559851664555434</v>
      </c>
      <c r="U54" s="221" cm="1">
        <f t="array" ref="U54">U52*INDEX(LoanCohortRate,$A51)</f>
        <v>0.15253089369892683</v>
      </c>
      <c r="V54" s="221" cm="1">
        <f t="array" ref="V54">V52*INDEX(LoanCohortRate,$A51)</f>
        <v>0.1290884218794166</v>
      </c>
      <c r="W54" s="221" cm="1">
        <f t="array" ref="W54">W52*INDEX(LoanCohortRate,$A51)</f>
        <v>0.10526500989283934</v>
      </c>
      <c r="X54" s="221" cm="1">
        <f t="array" ref="X54">X52*INDEX(LoanCohortRate,$A51)</f>
        <v>8.1054467461480192E-2</v>
      </c>
      <c r="Y54" s="221" cm="1">
        <f t="array" ref="Y54">Y52*INDEX(LoanCohortRate,$A51)</f>
        <v>5.6450503715611465E-2</v>
      </c>
      <c r="Z54" s="221" cm="1">
        <f t="array" ref="Z54">Z52*INDEX(LoanCohortRate,$A51)</f>
        <v>3.1446725558872367E-2</v>
      </c>
      <c r="AA54" s="221" cm="1">
        <f t="array" ref="AA54">AA52*INDEX(LoanCohortRate,$A51)</f>
        <v>6.0366360070862584E-3</v>
      </c>
      <c r="AB54" s="221" cm="1">
        <f t="array" ref="AB54">AB52*INDEX(LoanCohortRate,$A51)</f>
        <v>0</v>
      </c>
      <c r="AC54" s="221" cm="1">
        <f t="array" ref="AC54">AC52*INDEX(LoanCohortRate,$A51)</f>
        <v>0</v>
      </c>
      <c r="AD54" s="221" cm="1">
        <f t="array" ref="AD54">AD52*INDEX(LoanCohortRate,$A51)</f>
        <v>0</v>
      </c>
      <c r="AE54" s="221" cm="1">
        <f t="array" ref="AE54">AE52*INDEX(LoanCohortRate,$A51)</f>
        <v>0</v>
      </c>
      <c r="AF54" s="221" cm="1">
        <f t="array" ref="AF54">AF52*INDEX(LoanCohortRate,$A51)</f>
        <v>0</v>
      </c>
      <c r="AG54" s="221" cm="1">
        <f t="array" ref="AG54">AG52*INDEX(LoanCohortRate,$A51)</f>
        <v>0</v>
      </c>
      <c r="AH54" s="221" cm="1">
        <f t="array" ref="AH54">AH52*INDEX(LoanCohortRate,$A51)</f>
        <v>0</v>
      </c>
      <c r="AI54" s="221" cm="1">
        <f t="array" ref="AI54">AI52*INDEX(LoanCohortRate,$A51)</f>
        <v>0</v>
      </c>
      <c r="AJ54" s="221" cm="1">
        <f t="array" ref="AJ54">AJ52*INDEX(LoanCohortRate,$A51)</f>
        <v>0</v>
      </c>
      <c r="AK54" s="221" cm="1">
        <f t="array" ref="AK54">AK52*INDEX(LoanCohortRate,$A51)</f>
        <v>0</v>
      </c>
      <c r="AL54" s="221" cm="1">
        <f t="array" ref="AL54">AL52*INDEX(LoanCohortRate,$A51)</f>
        <v>0</v>
      </c>
      <c r="AM54" s="221" cm="1">
        <f t="array" ref="AM54">AM52*INDEX(LoanCohortRate,$A51)</f>
        <v>0</v>
      </c>
      <c r="AN54" s="221" cm="1">
        <f t="array" ref="AN54">AN52*INDEX(LoanCohortRate,$A51)</f>
        <v>0</v>
      </c>
      <c r="AO54" s="221" cm="1">
        <f t="array" ref="AO54">AO52*INDEX(LoanCohortRate,$A51)</f>
        <v>0</v>
      </c>
      <c r="AP54" s="221" cm="1">
        <f t="array" ref="AP54">AP52*INDEX(LoanCohortRate,$A51)</f>
        <v>0</v>
      </c>
      <c r="AQ54" s="221" cm="1">
        <f t="array" ref="AQ54">AQ52*INDEX(LoanCohortRate,$A51)</f>
        <v>0</v>
      </c>
      <c r="AR54" s="221" cm="1">
        <f t="array" ref="AR54">AR52*INDEX(LoanCohortRate,$A51)</f>
        <v>0</v>
      </c>
      <c r="AS54" s="221" cm="1">
        <f t="array" ref="AS54">AS52*INDEX(LoanCohortRate,$A51)</f>
        <v>0</v>
      </c>
      <c r="AT54" s="221" cm="1">
        <f t="array" ref="AT54">AT52*INDEX(LoanCohortRate,$A51)</f>
        <v>0</v>
      </c>
      <c r="AU54" s="221" cm="1">
        <f t="array" ref="AU54">AU52*INDEX(LoanCohortRate,$A51)</f>
        <v>0</v>
      </c>
      <c r="AV54" s="221" cm="1">
        <f t="array" ref="AV54">AV52*INDEX(LoanCohortRate,$A51)</f>
        <v>0</v>
      </c>
      <c r="AW54" s="221" cm="1">
        <f t="array" ref="AW54">AW52*INDEX(LoanCohortRate,$A51)</f>
        <v>0</v>
      </c>
      <c r="AX54" s="221" cm="1">
        <f t="array" ref="AX54">AX52*INDEX(LoanCohortRate,$A51)</f>
        <v>0</v>
      </c>
      <c r="AY54" s="221" cm="1">
        <f t="array" ref="AY54">AY52*INDEX(LoanCohortRate,$A51)</f>
        <v>0</v>
      </c>
      <c r="AZ54" s="221" cm="1">
        <f t="array" ref="AZ54">AZ52*INDEX(LoanCohortRate,$A51)</f>
        <v>0</v>
      </c>
      <c r="BA54" s="221" cm="1">
        <f t="array" ref="BA54">BA52*INDEX(LoanCohortRate,$A51)</f>
        <v>0</v>
      </c>
      <c r="BB54" s="221" cm="1">
        <f t="array" ref="BB54">BB52*INDEX(LoanCohortRate,$A51)</f>
        <v>0</v>
      </c>
      <c r="BC54" s="221" cm="1">
        <f t="array" ref="BC54">BC52*INDEX(LoanCohortRate,$A51)</f>
        <v>0</v>
      </c>
      <c r="BD54" s="221" cm="1">
        <f t="array" ref="BD54">BD52*INDEX(LoanCohortRate,$A51)</f>
        <v>0</v>
      </c>
      <c r="BE54" s="221" cm="1">
        <f t="array" ref="BE54">BE52*INDEX(LoanCohortRate,$A51)</f>
        <v>0</v>
      </c>
      <c r="BF54" s="221" cm="1">
        <f t="array" ref="BF54">BF52*INDEX(LoanCohortRate,$A51)</f>
        <v>0</v>
      </c>
      <c r="BG54" s="221" cm="1">
        <f t="array" ref="BG54">BG52*INDEX(LoanCohortRate,$A51)</f>
        <v>0</v>
      </c>
      <c r="BH54" s="221" cm="1">
        <f t="array" ref="BH54">BH52*INDEX(LoanCohortRate,$A51)</f>
        <v>0</v>
      </c>
      <c r="BI54" s="221" cm="1">
        <f t="array" ref="BI54">BI52*INDEX(LoanCohortRate,$A51)</f>
        <v>0</v>
      </c>
      <c r="BJ54" s="221" cm="1">
        <f t="array" ref="BJ54">BJ52*INDEX(LoanCohortRate,$A51)</f>
        <v>0</v>
      </c>
      <c r="BK54" s="221" cm="1">
        <f t="array" ref="BK54">BK52*INDEX(LoanCohortRate,$A51)</f>
        <v>0</v>
      </c>
    </row>
    <row r="55" spans="1:63" ht="7.8" x14ac:dyDescent="0.15">
      <c r="A55" s="218" t="s">
        <v>177</v>
      </c>
      <c r="B55" s="192"/>
      <c r="C55" s="192"/>
      <c r="D55" s="192"/>
      <c r="E55" s="192"/>
      <c r="F55" s="192"/>
      <c r="G55" s="192"/>
      <c r="H55" s="192"/>
      <c r="I55" s="219">
        <f>I53-I54</f>
        <v>1.1888945441303251</v>
      </c>
      <c r="J55" s="222">
        <f t="shared" ref="J55:BK55" si="1003">J53-J54</f>
        <v>1.2082140804724428</v>
      </c>
      <c r="K55" s="222">
        <f t="shared" si="1003"/>
        <v>1.2278475592801201</v>
      </c>
      <c r="L55" s="222">
        <f t="shared" si="1003"/>
        <v>1.2478000821184221</v>
      </c>
      <c r="M55" s="222">
        <f t="shared" si="1003"/>
        <v>1.2680768334528465</v>
      </c>
      <c r="N55" s="222">
        <f t="shared" si="1003"/>
        <v>1.2886830819964552</v>
      </c>
      <c r="O55" s="222">
        <f t="shared" si="1003"/>
        <v>1.3096241820788976</v>
      </c>
      <c r="P55" s="222">
        <f t="shared" si="1003"/>
        <v>1.3309055750376797</v>
      </c>
      <c r="Q55" s="222">
        <f t="shared" si="1003"/>
        <v>1.3525327906320419</v>
      </c>
      <c r="R55" s="222">
        <f t="shared" si="1003"/>
        <v>1.3745114484798127</v>
      </c>
      <c r="S55" s="222">
        <f t="shared" si="1003"/>
        <v>1.3968472595176096</v>
      </c>
      <c r="T55" s="222">
        <f t="shared" si="1003"/>
        <v>1.4195460274847709</v>
      </c>
      <c r="U55" s="222">
        <f t="shared" si="1003"/>
        <v>1.4426136504313982</v>
      </c>
      <c r="V55" s="222">
        <f t="shared" si="1003"/>
        <v>1.4660561222509085</v>
      </c>
      <c r="W55" s="222">
        <f t="shared" si="1003"/>
        <v>1.4898795342374858</v>
      </c>
      <c r="X55" s="222">
        <f t="shared" si="1003"/>
        <v>1.514090076668845</v>
      </c>
      <c r="Y55" s="222">
        <f t="shared" si="1003"/>
        <v>1.5386940404147136</v>
      </c>
      <c r="Z55" s="222">
        <f t="shared" si="1003"/>
        <v>1.5636978185714527</v>
      </c>
      <c r="AA55" s="222">
        <f t="shared" si="1003"/>
        <v>1.5891079081232389</v>
      </c>
      <c r="AB55" s="222">
        <f t="shared" si="1003"/>
        <v>0</v>
      </c>
      <c r="AC55" s="222">
        <f t="shared" si="1003"/>
        <v>0</v>
      </c>
      <c r="AD55" s="222">
        <f t="shared" si="1003"/>
        <v>0</v>
      </c>
      <c r="AE55" s="222">
        <f t="shared" si="1003"/>
        <v>0</v>
      </c>
      <c r="AF55" s="222">
        <f t="shared" si="1003"/>
        <v>0</v>
      </c>
      <c r="AG55" s="222">
        <f t="shared" si="1003"/>
        <v>0</v>
      </c>
      <c r="AH55" s="222">
        <f t="shared" si="1003"/>
        <v>0</v>
      </c>
      <c r="AI55" s="222">
        <f t="shared" si="1003"/>
        <v>0</v>
      </c>
      <c r="AJ55" s="222">
        <f t="shared" si="1003"/>
        <v>0</v>
      </c>
      <c r="AK55" s="222">
        <f t="shared" si="1003"/>
        <v>0</v>
      </c>
      <c r="AL55" s="222">
        <f t="shared" si="1003"/>
        <v>0</v>
      </c>
      <c r="AM55" s="222">
        <f t="shared" si="1003"/>
        <v>0</v>
      </c>
      <c r="AN55" s="222">
        <f t="shared" si="1003"/>
        <v>0</v>
      </c>
      <c r="AO55" s="222">
        <f t="shared" si="1003"/>
        <v>0</v>
      </c>
      <c r="AP55" s="222">
        <f t="shared" si="1003"/>
        <v>0</v>
      </c>
      <c r="AQ55" s="222">
        <f t="shared" si="1003"/>
        <v>0</v>
      </c>
      <c r="AR55" s="222">
        <f t="shared" si="1003"/>
        <v>0</v>
      </c>
      <c r="AS55" s="222">
        <f t="shared" si="1003"/>
        <v>0</v>
      </c>
      <c r="AT55" s="222">
        <f t="shared" si="1003"/>
        <v>0</v>
      </c>
      <c r="AU55" s="222">
        <f t="shared" si="1003"/>
        <v>0</v>
      </c>
      <c r="AV55" s="222">
        <f t="shared" si="1003"/>
        <v>0</v>
      </c>
      <c r="AW55" s="222">
        <f t="shared" si="1003"/>
        <v>0</v>
      </c>
      <c r="AX55" s="222">
        <f t="shared" si="1003"/>
        <v>0</v>
      </c>
      <c r="AY55" s="222">
        <f t="shared" si="1003"/>
        <v>0</v>
      </c>
      <c r="AZ55" s="222">
        <f t="shared" si="1003"/>
        <v>0</v>
      </c>
      <c r="BA55" s="222">
        <f t="shared" si="1003"/>
        <v>0</v>
      </c>
      <c r="BB55" s="222">
        <f t="shared" si="1003"/>
        <v>0</v>
      </c>
      <c r="BC55" s="222">
        <f t="shared" si="1003"/>
        <v>0</v>
      </c>
      <c r="BD55" s="222">
        <f t="shared" si="1003"/>
        <v>0</v>
      </c>
      <c r="BE55" s="222">
        <f t="shared" si="1003"/>
        <v>0</v>
      </c>
      <c r="BF55" s="222">
        <f t="shared" si="1003"/>
        <v>0</v>
      </c>
      <c r="BG55" s="222">
        <f t="shared" si="1003"/>
        <v>0</v>
      </c>
      <c r="BH55" s="222">
        <f t="shared" si="1003"/>
        <v>0</v>
      </c>
      <c r="BI55" s="222">
        <f t="shared" si="1003"/>
        <v>0</v>
      </c>
      <c r="BJ55" s="222">
        <f t="shared" si="1003"/>
        <v>0</v>
      </c>
      <c r="BK55" s="222">
        <f t="shared" si="1003"/>
        <v>0</v>
      </c>
    </row>
    <row r="56" spans="1:63" ht="7.8" x14ac:dyDescent="0.15">
      <c r="A56" s="205" t="s">
        <v>7</v>
      </c>
      <c r="B56" s="192"/>
      <c r="C56" s="192"/>
      <c r="D56" s="192"/>
      <c r="E56" s="192"/>
      <c r="F56" s="192"/>
      <c r="G56" s="192"/>
      <c r="H56" s="192"/>
      <c r="I56" s="214" cm="1">
        <f t="array" ref="I56">INDEX(LoanOriginations,$A51)</f>
        <v>102.52512531281243</v>
      </c>
      <c r="J56" s="199">
        <f t="shared" ref="J56:AO56" si="1004">I56*(1-MitigateDelinquency*MitigateChargeoff)  *  IF(J51=0,0,IF(J51-102=LoanSaleHeld,0.6,1))</f>
        <v>102.42260018749963</v>
      </c>
      <c r="K56" s="199">
        <f t="shared" si="1004"/>
        <v>102.32017758731213</v>
      </c>
      <c r="L56" s="199">
        <f t="shared" si="1004"/>
        <v>102.21785740972481</v>
      </c>
      <c r="M56" s="199">
        <f t="shared" si="1004"/>
        <v>61.269383731389048</v>
      </c>
      <c r="N56" s="199">
        <f t="shared" si="1004"/>
        <v>61.208114347657663</v>
      </c>
      <c r="O56" s="199">
        <f t="shared" si="1004"/>
        <v>61.146906233310006</v>
      </c>
      <c r="P56" s="199">
        <f t="shared" si="1004"/>
        <v>61.085759327076694</v>
      </c>
      <c r="Q56" s="199">
        <f t="shared" si="1004"/>
        <v>61.024673567749616</v>
      </c>
      <c r="R56" s="199">
        <f t="shared" si="1004"/>
        <v>60.963648894181866</v>
      </c>
      <c r="S56" s="199">
        <f t="shared" si="1004"/>
        <v>60.902685245287685</v>
      </c>
      <c r="T56" s="199">
        <f t="shared" si="1004"/>
        <v>60.841782560042397</v>
      </c>
      <c r="U56" s="199">
        <f t="shared" si="1004"/>
        <v>60.780940777482357</v>
      </c>
      <c r="V56" s="199">
        <f t="shared" si="1004"/>
        <v>60.720159836704873</v>
      </c>
      <c r="W56" s="199">
        <f t="shared" si="1004"/>
        <v>60.659439676868168</v>
      </c>
      <c r="X56" s="199">
        <f t="shared" si="1004"/>
        <v>60.598780237191299</v>
      </c>
      <c r="Y56" s="199">
        <f t="shared" si="1004"/>
        <v>60.538181456954106</v>
      </c>
      <c r="Z56" s="199">
        <f t="shared" si="1004"/>
        <v>60.477643275497151</v>
      </c>
      <c r="AA56" s="199">
        <f t="shared" si="1004"/>
        <v>60.417165632221653</v>
      </c>
      <c r="AB56" s="199">
        <f t="shared" si="1004"/>
        <v>0</v>
      </c>
      <c r="AC56" s="199">
        <f t="shared" si="1004"/>
        <v>0</v>
      </c>
      <c r="AD56" s="199">
        <f t="shared" si="1004"/>
        <v>0</v>
      </c>
      <c r="AE56" s="199">
        <f t="shared" si="1004"/>
        <v>0</v>
      </c>
      <c r="AF56" s="199">
        <f t="shared" si="1004"/>
        <v>0</v>
      </c>
      <c r="AG56" s="199">
        <f t="shared" si="1004"/>
        <v>0</v>
      </c>
      <c r="AH56" s="199">
        <f t="shared" si="1004"/>
        <v>0</v>
      </c>
      <c r="AI56" s="199">
        <f t="shared" si="1004"/>
        <v>0</v>
      </c>
      <c r="AJ56" s="199">
        <f t="shared" si="1004"/>
        <v>0</v>
      </c>
      <c r="AK56" s="199">
        <f t="shared" si="1004"/>
        <v>0</v>
      </c>
      <c r="AL56" s="199">
        <f t="shared" si="1004"/>
        <v>0</v>
      </c>
      <c r="AM56" s="199">
        <f t="shared" si="1004"/>
        <v>0</v>
      </c>
      <c r="AN56" s="199">
        <f t="shared" si="1004"/>
        <v>0</v>
      </c>
      <c r="AO56" s="199">
        <f t="shared" si="1004"/>
        <v>0</v>
      </c>
      <c r="AP56" s="199">
        <f t="shared" ref="AP56:BK56" si="1005">AO56*(1-MitigateDelinquency*MitigateChargeoff)  *  IF(AP51=0,0,IF(AP51-102=LoanSaleHeld,0.6,1))</f>
        <v>0</v>
      </c>
      <c r="AQ56" s="199">
        <f t="shared" si="1005"/>
        <v>0</v>
      </c>
      <c r="AR56" s="199">
        <f t="shared" si="1005"/>
        <v>0</v>
      </c>
      <c r="AS56" s="199">
        <f t="shared" si="1005"/>
        <v>0</v>
      </c>
      <c r="AT56" s="199">
        <f t="shared" si="1005"/>
        <v>0</v>
      </c>
      <c r="AU56" s="199">
        <f t="shared" si="1005"/>
        <v>0</v>
      </c>
      <c r="AV56" s="199">
        <f t="shared" si="1005"/>
        <v>0</v>
      </c>
      <c r="AW56" s="199">
        <f t="shared" si="1005"/>
        <v>0</v>
      </c>
      <c r="AX56" s="199">
        <f t="shared" si="1005"/>
        <v>0</v>
      </c>
      <c r="AY56" s="199">
        <f t="shared" si="1005"/>
        <v>0</v>
      </c>
      <c r="AZ56" s="199">
        <f t="shared" si="1005"/>
        <v>0</v>
      </c>
      <c r="BA56" s="199">
        <f t="shared" si="1005"/>
        <v>0</v>
      </c>
      <c r="BB56" s="199">
        <f t="shared" si="1005"/>
        <v>0</v>
      </c>
      <c r="BC56" s="199">
        <f t="shared" si="1005"/>
        <v>0</v>
      </c>
      <c r="BD56" s="199">
        <f t="shared" si="1005"/>
        <v>0</v>
      </c>
      <c r="BE56" s="199">
        <f t="shared" si="1005"/>
        <v>0</v>
      </c>
      <c r="BF56" s="199">
        <f t="shared" si="1005"/>
        <v>0</v>
      </c>
      <c r="BG56" s="199">
        <f t="shared" si="1005"/>
        <v>0</v>
      </c>
      <c r="BH56" s="199">
        <f t="shared" si="1005"/>
        <v>0</v>
      </c>
      <c r="BI56" s="199">
        <f t="shared" si="1005"/>
        <v>0</v>
      </c>
      <c r="BJ56" s="199">
        <f t="shared" si="1005"/>
        <v>0</v>
      </c>
      <c r="BK56" s="199">
        <f t="shared" si="1005"/>
        <v>0</v>
      </c>
    </row>
    <row r="57" spans="1:63" ht="7.8" x14ac:dyDescent="0.15">
      <c r="A57" s="207" t="s">
        <v>96</v>
      </c>
      <c r="B57" s="192"/>
      <c r="C57" s="192"/>
      <c r="D57" s="192"/>
      <c r="E57" s="192"/>
      <c r="F57" s="192"/>
      <c r="G57" s="192"/>
      <c r="H57" s="192"/>
      <c r="I57" s="223">
        <f>I54*I56</f>
        <v>41.650832158330054</v>
      </c>
      <c r="J57" s="200">
        <f t="shared" ref="J57" si="1006">J54*J56</f>
        <v>39.630424179595124</v>
      </c>
      <c r="K57" s="200">
        <f t="shared" ref="K57" si="1007">K54*K56</f>
        <v>37.581892717157274</v>
      </c>
      <c r="L57" s="200">
        <f t="shared" ref="L57" si="1008">L54*L56</f>
        <v>35.504806689990289</v>
      </c>
      <c r="M57" s="200">
        <f t="shared" ref="M57" si="1009">M54*M56</f>
        <v>20.039237071645374</v>
      </c>
      <c r="N57" s="200">
        <f t="shared" ref="N57" si="1010">N54*N56</f>
        <v>18.757928217440273</v>
      </c>
      <c r="O57" s="200">
        <f t="shared" ref="O57" si="1011">O54*O56</f>
        <v>17.458686806059365</v>
      </c>
      <c r="P57" s="200">
        <f t="shared" ref="P57" si="1012">P54*P56</f>
        <v>16.141238070828198</v>
      </c>
      <c r="Q57" s="200">
        <f t="shared" ref="Q57" si="1013">Q54*Q56</f>
        <v>14.805303060932065</v>
      </c>
      <c r="R57" s="200">
        <f t="shared" ref="R57" si="1014">R54*R56</f>
        <v>13.450598577674286</v>
      </c>
      <c r="S57" s="200">
        <f t="shared" ref="S57" si="1015">S54*S56</f>
        <v>12.076837109763442</v>
      </c>
      <c r="T57" s="200">
        <f t="shared" ref="T57" si="1016">T54*T56</f>
        <v>10.683726767614802</v>
      </c>
      <c r="U57" s="200">
        <f t="shared" ref="U57" si="1017">U54*U56</f>
        <v>9.2709712166509295</v>
      </c>
      <c r="V57" s="200">
        <f t="shared" ref="V57" si="1018">V54*V56</f>
        <v>7.8382696095861668</v>
      </c>
      <c r="W57" s="200">
        <f t="shared" ref="W57" si="1019">W54*W56</f>
        <v>6.3853165176796187</v>
      </c>
      <c r="X57" s="200">
        <f t="shared" ref="X57" si="1020">X54*X56</f>
        <v>4.9118018609408107</v>
      </c>
      <c r="Y57" s="200">
        <f t="shared" ref="Y57" si="1021">Y54*Y56</f>
        <v>3.4174108372721488</v>
      </c>
      <c r="Z57" s="200">
        <f t="shared" ref="Z57" si="1022">Z54*Z56</f>
        <v>1.9018238505319418</v>
      </c>
      <c r="AA57" s="200">
        <f t="shared" ref="AA57" si="1023">AA54*AA56</f>
        <v>0.36471643750156363</v>
      </c>
      <c r="AB57" s="200">
        <f t="shared" ref="AB57" si="1024">AB54*AB56</f>
        <v>0</v>
      </c>
      <c r="AC57" s="200">
        <f t="shared" ref="AC57" si="1025">AC54*AC56</f>
        <v>0</v>
      </c>
      <c r="AD57" s="200">
        <f t="shared" ref="AD57" si="1026">AD54*AD56</f>
        <v>0</v>
      </c>
      <c r="AE57" s="200">
        <f t="shared" ref="AE57" si="1027">AE54*AE56</f>
        <v>0</v>
      </c>
      <c r="AF57" s="200">
        <f t="shared" ref="AF57" si="1028">AF54*AF56</f>
        <v>0</v>
      </c>
      <c r="AG57" s="200">
        <f t="shared" ref="AG57" si="1029">AG54*AG56</f>
        <v>0</v>
      </c>
      <c r="AH57" s="200">
        <f t="shared" ref="AH57" si="1030">AH54*AH56</f>
        <v>0</v>
      </c>
      <c r="AI57" s="200">
        <f t="shared" ref="AI57" si="1031">AI54*AI56</f>
        <v>0</v>
      </c>
      <c r="AJ57" s="200">
        <f t="shared" ref="AJ57" si="1032">AJ54*AJ56</f>
        <v>0</v>
      </c>
      <c r="AK57" s="200">
        <f t="shared" ref="AK57" si="1033">AK54*AK56</f>
        <v>0</v>
      </c>
      <c r="AL57" s="200">
        <f t="shared" ref="AL57" si="1034">AL54*AL56</f>
        <v>0</v>
      </c>
      <c r="AM57" s="200">
        <f t="shared" ref="AM57" si="1035">AM54*AM56</f>
        <v>0</v>
      </c>
      <c r="AN57" s="200">
        <f t="shared" ref="AN57" si="1036">AN54*AN56</f>
        <v>0</v>
      </c>
      <c r="AO57" s="200">
        <f t="shared" ref="AO57" si="1037">AO54*AO56</f>
        <v>0</v>
      </c>
      <c r="AP57" s="200">
        <f t="shared" ref="AP57" si="1038">AP54*AP56</f>
        <v>0</v>
      </c>
      <c r="AQ57" s="200">
        <f t="shared" ref="AQ57" si="1039">AQ54*AQ56</f>
        <v>0</v>
      </c>
      <c r="AR57" s="200">
        <f t="shared" ref="AR57" si="1040">AR54*AR56</f>
        <v>0</v>
      </c>
      <c r="AS57" s="200">
        <f t="shared" ref="AS57" si="1041">AS54*AS56</f>
        <v>0</v>
      </c>
      <c r="AT57" s="200">
        <f t="shared" ref="AT57" si="1042">AT54*AT56</f>
        <v>0</v>
      </c>
      <c r="AU57" s="200">
        <f t="shared" ref="AU57" si="1043">AU54*AU56</f>
        <v>0</v>
      </c>
      <c r="AV57" s="200">
        <f t="shared" ref="AV57" si="1044">AV54*AV56</f>
        <v>0</v>
      </c>
      <c r="AW57" s="200">
        <f t="shared" ref="AW57" si="1045">AW54*AW56</f>
        <v>0</v>
      </c>
      <c r="AX57" s="200">
        <f t="shared" ref="AX57" si="1046">AX54*AX56</f>
        <v>0</v>
      </c>
      <c r="AY57" s="200">
        <f t="shared" ref="AY57" si="1047">AY54*AY56</f>
        <v>0</v>
      </c>
      <c r="AZ57" s="200">
        <f t="shared" ref="AZ57" si="1048">AZ54*AZ56</f>
        <v>0</v>
      </c>
      <c r="BA57" s="200">
        <f t="shared" ref="BA57" si="1049">BA54*BA56</f>
        <v>0</v>
      </c>
      <c r="BB57" s="200">
        <f t="shared" ref="BB57" si="1050">BB54*BB56</f>
        <v>0</v>
      </c>
      <c r="BC57" s="200">
        <f t="shared" ref="BC57" si="1051">BC54*BC56</f>
        <v>0</v>
      </c>
      <c r="BD57" s="200">
        <f t="shared" ref="BD57" si="1052">BD54*BD56</f>
        <v>0</v>
      </c>
      <c r="BE57" s="200">
        <f t="shared" ref="BE57" si="1053">BE54*BE56</f>
        <v>0</v>
      </c>
      <c r="BF57" s="200">
        <f t="shared" ref="BF57" si="1054">BF54*BF56</f>
        <v>0</v>
      </c>
      <c r="BG57" s="200">
        <f t="shared" ref="BG57" si="1055">BG54*BG56</f>
        <v>0</v>
      </c>
      <c r="BH57" s="200">
        <f t="shared" ref="BH57" si="1056">BH54*BH56</f>
        <v>0</v>
      </c>
      <c r="BI57" s="200">
        <f t="shared" ref="BI57" si="1057">BI54*BI56</f>
        <v>0</v>
      </c>
      <c r="BJ57" s="200">
        <f t="shared" ref="BJ57" si="1058">BJ54*BJ56</f>
        <v>0</v>
      </c>
      <c r="BK57" s="200">
        <f t="shared" ref="BK57" si="1059">BK54*BK56</f>
        <v>0</v>
      </c>
    </row>
    <row r="58" spans="1:63" ht="7.8" x14ac:dyDescent="0.15">
      <c r="A58" s="206" t="s">
        <v>97</v>
      </c>
      <c r="B58" s="192"/>
      <c r="C58" s="192"/>
      <c r="D58" s="192"/>
      <c r="E58" s="192"/>
      <c r="F58" s="192"/>
      <c r="G58" s="192"/>
      <c r="H58" s="192"/>
      <c r="I58" s="223">
        <f>I55*I56</f>
        <v>121.8915621206806</v>
      </c>
      <c r="J58" s="200">
        <f>J55*J56</f>
        <v>123.74842770513651</v>
      </c>
      <c r="K58" s="200">
        <f t="shared" ref="K58:BK58" si="1060">K55*K56</f>
        <v>125.63358031568966</v>
      </c>
      <c r="L58" s="200">
        <f t="shared" si="1060"/>
        <v>127.54745086982378</v>
      </c>
      <c r="M58" s="200">
        <f t="shared" si="1060"/>
        <v>77.694286109707178</v>
      </c>
      <c r="N58" s="200">
        <f t="shared" si="1060"/>
        <v>78.877861440730925</v>
      </c>
      <c r="O58" s="200">
        <f t="shared" si="1060"/>
        <v>80.079467062453659</v>
      </c>
      <c r="P58" s="200">
        <f t="shared" si="1060"/>
        <v>81.299377643816314</v>
      </c>
      <c r="Q58" s="200">
        <f t="shared" si="1060"/>
        <v>82.537872037997786</v>
      </c>
      <c r="R58" s="200">
        <f t="shared" si="1060"/>
        <v>83.79523334615665</v>
      </c>
      <c r="S58" s="200">
        <f t="shared" si="1060"/>
        <v>85.07174898214366</v>
      </c>
      <c r="T58" s="200">
        <f t="shared" si="1060"/>
        <v>86.367710738200401</v>
      </c>
      <c r="U58" s="200">
        <f t="shared" si="1060"/>
        <v>87.683414851658455</v>
      </c>
      <c r="V58" s="200">
        <f t="shared" si="1060"/>
        <v>89.019162072654908</v>
      </c>
      <c r="W58" s="200">
        <f t="shared" si="1060"/>
        <v>90.375257732879206</v>
      </c>
      <c r="X58" s="200">
        <f t="shared" si="1060"/>
        <v>91.752011815367467</v>
      </c>
      <c r="Y58" s="200">
        <f t="shared" si="1060"/>
        <v>93.149739025359807</v>
      </c>
      <c r="Z58" s="200">
        <f t="shared" si="1060"/>
        <v>94.568758862237388</v>
      </c>
      <c r="AA58" s="200">
        <f t="shared" si="1060"/>
        <v>96.009395692554989</v>
      </c>
      <c r="AB58" s="200">
        <f t="shared" si="1060"/>
        <v>0</v>
      </c>
      <c r="AC58" s="200">
        <f t="shared" si="1060"/>
        <v>0</v>
      </c>
      <c r="AD58" s="200">
        <f t="shared" si="1060"/>
        <v>0</v>
      </c>
      <c r="AE58" s="200">
        <f t="shared" si="1060"/>
        <v>0</v>
      </c>
      <c r="AF58" s="200">
        <f t="shared" si="1060"/>
        <v>0</v>
      </c>
      <c r="AG58" s="200">
        <f t="shared" si="1060"/>
        <v>0</v>
      </c>
      <c r="AH58" s="200">
        <f t="shared" si="1060"/>
        <v>0</v>
      </c>
      <c r="AI58" s="200">
        <f t="shared" si="1060"/>
        <v>0</v>
      </c>
      <c r="AJ58" s="200">
        <f t="shared" si="1060"/>
        <v>0</v>
      </c>
      <c r="AK58" s="200">
        <f t="shared" si="1060"/>
        <v>0</v>
      </c>
      <c r="AL58" s="200">
        <f t="shared" si="1060"/>
        <v>0</v>
      </c>
      <c r="AM58" s="200">
        <f t="shared" si="1060"/>
        <v>0</v>
      </c>
      <c r="AN58" s="200">
        <f t="shared" si="1060"/>
        <v>0</v>
      </c>
      <c r="AO58" s="200">
        <f t="shared" si="1060"/>
        <v>0</v>
      </c>
      <c r="AP58" s="200">
        <f t="shared" si="1060"/>
        <v>0</v>
      </c>
      <c r="AQ58" s="200">
        <f t="shared" si="1060"/>
        <v>0</v>
      </c>
      <c r="AR58" s="200">
        <f t="shared" si="1060"/>
        <v>0</v>
      </c>
      <c r="AS58" s="200">
        <f t="shared" si="1060"/>
        <v>0</v>
      </c>
      <c r="AT58" s="200">
        <f t="shared" si="1060"/>
        <v>0</v>
      </c>
      <c r="AU58" s="200">
        <f t="shared" si="1060"/>
        <v>0</v>
      </c>
      <c r="AV58" s="200">
        <f t="shared" si="1060"/>
        <v>0</v>
      </c>
      <c r="AW58" s="200">
        <f t="shared" si="1060"/>
        <v>0</v>
      </c>
      <c r="AX58" s="200">
        <f t="shared" si="1060"/>
        <v>0</v>
      </c>
      <c r="AY58" s="200">
        <f t="shared" si="1060"/>
        <v>0</v>
      </c>
      <c r="AZ58" s="200">
        <f t="shared" si="1060"/>
        <v>0</v>
      </c>
      <c r="BA58" s="200">
        <f t="shared" si="1060"/>
        <v>0</v>
      </c>
      <c r="BB58" s="200">
        <f t="shared" si="1060"/>
        <v>0</v>
      </c>
      <c r="BC58" s="200">
        <f t="shared" si="1060"/>
        <v>0</v>
      </c>
      <c r="BD58" s="200">
        <f t="shared" si="1060"/>
        <v>0</v>
      </c>
      <c r="BE58" s="200">
        <f t="shared" si="1060"/>
        <v>0</v>
      </c>
      <c r="BF58" s="200">
        <f t="shared" si="1060"/>
        <v>0</v>
      </c>
      <c r="BG58" s="200">
        <f t="shared" si="1060"/>
        <v>0</v>
      </c>
      <c r="BH58" s="200">
        <f t="shared" si="1060"/>
        <v>0</v>
      </c>
      <c r="BI58" s="200">
        <f t="shared" si="1060"/>
        <v>0</v>
      </c>
      <c r="BJ58" s="200">
        <f t="shared" si="1060"/>
        <v>0</v>
      </c>
      <c r="BK58" s="200">
        <f t="shared" si="1060"/>
        <v>0</v>
      </c>
    </row>
    <row r="59" spans="1:63" ht="7.8" x14ac:dyDescent="0.15">
      <c r="A59" s="208" t="s">
        <v>203</v>
      </c>
      <c r="B59" s="192"/>
      <c r="C59" s="192"/>
      <c r="D59" s="192"/>
      <c r="E59" s="192"/>
      <c r="F59" s="192"/>
      <c r="G59" s="192"/>
      <c r="H59" s="192"/>
      <c r="I59" s="224">
        <f>IF(I51-101&lt;&gt;LoanSaleHeld,0,SUM($D58:I58)*LoanSalePercent)</f>
        <v>0</v>
      </c>
      <c r="J59" s="225">
        <f>IF(J51-101&lt;&gt;LoanSaleHeld,0,SUM($D58:J58)*LoanSalePercent)</f>
        <v>0</v>
      </c>
      <c r="K59" s="225">
        <f>IF(K51-101&lt;&gt;LoanSaleHeld,0,SUM($D58:K58)*LoanSalePercent)</f>
        <v>0</v>
      </c>
      <c r="L59" s="225">
        <f>IF(L51-101&lt;&gt;LoanSaleHeld,0,SUM($D58:L58)*LoanSalePercent)</f>
        <v>199.52840840453223</v>
      </c>
      <c r="M59" s="225">
        <f>IF(M51-101&lt;&gt;LoanSaleHeld,0,SUM($D58:M58)*LoanSalePercent)</f>
        <v>0</v>
      </c>
      <c r="N59" s="225">
        <f>IF(N51-101&lt;&gt;LoanSaleHeld,0,SUM($D58:N58)*LoanSalePercent)</f>
        <v>0</v>
      </c>
      <c r="O59" s="225">
        <f>IF(O51-101&lt;&gt;LoanSaleHeld,0,SUM($D58:O58)*LoanSalePercent)</f>
        <v>0</v>
      </c>
      <c r="P59" s="225">
        <f>IF(P51-101&lt;&gt;LoanSaleHeld,0,SUM($D58:P58)*LoanSalePercent)</f>
        <v>0</v>
      </c>
      <c r="Q59" s="225">
        <f>IF(Q51-101&lt;&gt;LoanSaleHeld,0,SUM($D58:Q58)*LoanSalePercent)</f>
        <v>0</v>
      </c>
      <c r="R59" s="225">
        <f>IF(R51-101&lt;&gt;LoanSaleHeld,0,SUM($D58:R58)*LoanSalePercent)</f>
        <v>0</v>
      </c>
      <c r="S59" s="225">
        <f>IF(S51-101&lt;&gt;LoanSaleHeld,0,SUM($D58:S58)*LoanSalePercent)</f>
        <v>0</v>
      </c>
      <c r="T59" s="225">
        <f>IF(T51-101&lt;&gt;LoanSaleHeld,0,SUM($D58:T58)*LoanSalePercent)</f>
        <v>0</v>
      </c>
      <c r="U59" s="225">
        <f>IF(U51-101&lt;&gt;LoanSaleHeld,0,SUM($D58:U58)*LoanSalePercent)</f>
        <v>0</v>
      </c>
      <c r="V59" s="225">
        <f>IF(V51-101&lt;&gt;LoanSaleHeld,0,SUM($D58:V58)*LoanSalePercent)</f>
        <v>0</v>
      </c>
      <c r="W59" s="225">
        <f>IF(W51-101&lt;&gt;LoanSaleHeld,0,SUM($D58:W58)*LoanSalePercent)</f>
        <v>0</v>
      </c>
      <c r="X59" s="225">
        <f>IF(X51-101&lt;&gt;LoanSaleHeld,0,SUM($D58:X58)*LoanSalePercent)</f>
        <v>0</v>
      </c>
      <c r="Y59" s="225">
        <f>IF(Y51-101&lt;&gt;LoanSaleHeld,0,SUM($D58:Y58)*LoanSalePercent)</f>
        <v>0</v>
      </c>
      <c r="Z59" s="225">
        <f>IF(Z51-101&lt;&gt;LoanSaleHeld,0,SUM($D58:Z58)*LoanSalePercent)</f>
        <v>0</v>
      </c>
      <c r="AA59" s="225">
        <f>IF(AA51-101&lt;&gt;LoanSaleHeld,0,SUM($D58:AA58)*LoanSalePercent)</f>
        <v>0</v>
      </c>
      <c r="AB59" s="225">
        <f>IF(AB51-101&lt;&gt;LoanSaleHeld,0,SUM($D58:AB58)*LoanSalePercent)</f>
        <v>0</v>
      </c>
      <c r="AC59" s="225">
        <f>IF(AC51-101&lt;&gt;LoanSaleHeld,0,SUM($D58:AC58)*LoanSalePercent)</f>
        <v>0</v>
      </c>
      <c r="AD59" s="225">
        <f>IF(AD51-101&lt;&gt;LoanSaleHeld,0,SUM($D58:AD58)*LoanSalePercent)</f>
        <v>0</v>
      </c>
      <c r="AE59" s="225">
        <f>IF(AE51-101&lt;&gt;LoanSaleHeld,0,SUM($D58:AE58)*LoanSalePercent)</f>
        <v>0</v>
      </c>
      <c r="AF59" s="225">
        <f>IF(AF51-101&lt;&gt;LoanSaleHeld,0,SUM($D58:AF58)*LoanSalePercent)</f>
        <v>0</v>
      </c>
      <c r="AG59" s="225">
        <f>IF(AG51-101&lt;&gt;LoanSaleHeld,0,SUM($D58:AG58)*LoanSalePercent)</f>
        <v>0</v>
      </c>
      <c r="AH59" s="225">
        <f>IF(AH51-101&lt;&gt;LoanSaleHeld,0,SUM($D58:AH58)*LoanSalePercent)</f>
        <v>0</v>
      </c>
      <c r="AI59" s="225">
        <f>IF(AI51-101&lt;&gt;LoanSaleHeld,0,SUM($D58:AI58)*LoanSalePercent)</f>
        <v>0</v>
      </c>
      <c r="AJ59" s="225">
        <f>IF(AJ51-101&lt;&gt;LoanSaleHeld,0,SUM($D58:AJ58)*LoanSalePercent)</f>
        <v>0</v>
      </c>
      <c r="AK59" s="225">
        <f>IF(AK51-101&lt;&gt;LoanSaleHeld,0,SUM($D58:AK58)*LoanSalePercent)</f>
        <v>0</v>
      </c>
      <c r="AL59" s="225">
        <f>IF(AL51-101&lt;&gt;LoanSaleHeld,0,SUM($D58:AL58)*LoanSalePercent)</f>
        <v>0</v>
      </c>
      <c r="AM59" s="225">
        <f>IF(AM51-101&lt;&gt;LoanSaleHeld,0,SUM($D58:AM58)*LoanSalePercent)</f>
        <v>0</v>
      </c>
      <c r="AN59" s="225">
        <f>IF(AN51-101&lt;&gt;LoanSaleHeld,0,SUM($D58:AN58)*LoanSalePercent)</f>
        <v>0</v>
      </c>
      <c r="AO59" s="225">
        <f>IF(AO51-101&lt;&gt;LoanSaleHeld,0,SUM($D58:AO58)*LoanSalePercent)</f>
        <v>0</v>
      </c>
      <c r="AP59" s="225">
        <f>IF(AP51-101&lt;&gt;LoanSaleHeld,0,SUM($D58:AP58)*LoanSalePercent)</f>
        <v>0</v>
      </c>
      <c r="AQ59" s="225">
        <f>IF(AQ51-101&lt;&gt;LoanSaleHeld,0,SUM($D58:AQ58)*LoanSalePercent)</f>
        <v>0</v>
      </c>
      <c r="AR59" s="225">
        <f>IF(AR51-101&lt;&gt;LoanSaleHeld,0,SUM($D58:AR58)*LoanSalePercent)</f>
        <v>0</v>
      </c>
      <c r="AS59" s="225">
        <f>IF(AS51-101&lt;&gt;LoanSaleHeld,0,SUM($D58:AS58)*LoanSalePercent)</f>
        <v>0</v>
      </c>
      <c r="AT59" s="225">
        <f>IF(AT51-101&lt;&gt;LoanSaleHeld,0,SUM($D58:AT58)*LoanSalePercent)</f>
        <v>0</v>
      </c>
      <c r="AU59" s="225">
        <f>IF(AU51-101&lt;&gt;LoanSaleHeld,0,SUM($D58:AU58)*LoanSalePercent)</f>
        <v>0</v>
      </c>
      <c r="AV59" s="225">
        <f>IF(AV51-101&lt;&gt;LoanSaleHeld,0,SUM($D58:AV58)*LoanSalePercent)</f>
        <v>0</v>
      </c>
      <c r="AW59" s="225">
        <f>IF(AW51-101&lt;&gt;LoanSaleHeld,0,SUM($D58:AW58)*LoanSalePercent)</f>
        <v>0</v>
      </c>
      <c r="AX59" s="225">
        <f>IF(AX51-101&lt;&gt;LoanSaleHeld,0,SUM($D58:AX58)*LoanSalePercent)</f>
        <v>0</v>
      </c>
      <c r="AY59" s="225">
        <f>IF(AY51-101&lt;&gt;LoanSaleHeld,0,SUM($D58:AY58)*LoanSalePercent)</f>
        <v>0</v>
      </c>
      <c r="AZ59" s="225">
        <f>IF(AZ51-101&lt;&gt;LoanSaleHeld,0,SUM($D58:AZ58)*LoanSalePercent)</f>
        <v>0</v>
      </c>
      <c r="BA59" s="225">
        <f>IF(BA51-101&lt;&gt;LoanSaleHeld,0,SUM($D58:BA58)*LoanSalePercent)</f>
        <v>0</v>
      </c>
      <c r="BB59" s="225">
        <f>IF(BB51-101&lt;&gt;LoanSaleHeld,0,SUM($D58:BB58)*LoanSalePercent)</f>
        <v>0</v>
      </c>
      <c r="BC59" s="225">
        <f>IF(BC51-101&lt;&gt;LoanSaleHeld,0,SUM($D58:BC58)*LoanSalePercent)</f>
        <v>0</v>
      </c>
      <c r="BD59" s="225">
        <f>IF(BD51-101&lt;&gt;LoanSaleHeld,0,SUM($D58:BD58)*LoanSalePercent)</f>
        <v>0</v>
      </c>
      <c r="BE59" s="225">
        <f>IF(BE51-101&lt;&gt;LoanSaleHeld,0,SUM($D58:BE58)*LoanSalePercent)</f>
        <v>0</v>
      </c>
      <c r="BF59" s="225">
        <f>IF(BF51-101&lt;&gt;LoanSaleHeld,0,SUM($D58:BF58)*LoanSalePercent)</f>
        <v>0</v>
      </c>
      <c r="BG59" s="225">
        <f>IF(BG51-101&lt;&gt;LoanSaleHeld,0,SUM($D58:BG58)*LoanSalePercent)</f>
        <v>0</v>
      </c>
      <c r="BH59" s="225">
        <f>IF(BH51-101&lt;&gt;LoanSaleHeld,0,SUM($D58:BH58)*LoanSalePercent)</f>
        <v>0</v>
      </c>
      <c r="BI59" s="225">
        <f>IF(BI51-101&lt;&gt;LoanSaleHeld,0,SUM($D58:BI58)*LoanSalePercent)</f>
        <v>0</v>
      </c>
      <c r="BJ59" s="225">
        <f>IF(BJ51-101&lt;&gt;LoanSaleHeld,0,SUM($D58:BJ58)*LoanSalePercent)</f>
        <v>0</v>
      </c>
      <c r="BK59" s="225">
        <f>IF(BK51-101&lt;&gt;LoanSaleHeld,0,SUM($D58:BK58)*LoanSalePercent)</f>
        <v>0</v>
      </c>
    </row>
    <row r="60" spans="1:63" ht="7.8" x14ac:dyDescent="0.15">
      <c r="A60" s="204">
        <f t="shared" ref="A60" si="1061">A51+1</f>
        <v>7</v>
      </c>
      <c r="B60" s="192"/>
      <c r="C60" s="192"/>
      <c r="D60" s="192"/>
      <c r="E60" s="192"/>
      <c r="F60" s="192"/>
      <c r="G60" s="192"/>
      <c r="H60" s="192"/>
      <c r="I60" s="192"/>
      <c r="J60" s="195">
        <v>101</v>
      </c>
      <c r="K60" s="196">
        <f t="shared" ref="K60" si="1062">IF(K61=0,0,J60+1)</f>
        <v>102</v>
      </c>
      <c r="L60" s="196">
        <f t="shared" ref="L60" si="1063">IF(L61=0,0,K60+1)</f>
        <v>103</v>
      </c>
      <c r="M60" s="196">
        <f t="shared" ref="M60" si="1064">IF(M61=0,0,L60+1)</f>
        <v>104</v>
      </c>
      <c r="N60" s="196">
        <f t="shared" ref="N60" si="1065">IF(N61=0,0,M60+1)</f>
        <v>105</v>
      </c>
      <c r="O60" s="196">
        <f t="shared" ref="O60" si="1066">IF(O61=0,0,N60+1)</f>
        <v>106</v>
      </c>
      <c r="P60" s="196">
        <f t="shared" ref="P60" si="1067">IF(P61=0,0,O60+1)</f>
        <v>107</v>
      </c>
      <c r="Q60" s="196">
        <f t="shared" ref="Q60" si="1068">IF(Q61=0,0,P60+1)</f>
        <v>108</v>
      </c>
      <c r="R60" s="196">
        <f t="shared" ref="R60" si="1069">IF(R61=0,0,Q60+1)</f>
        <v>109</v>
      </c>
      <c r="S60" s="196">
        <f t="shared" ref="S60" si="1070">IF(S61=0,0,R60+1)</f>
        <v>110</v>
      </c>
      <c r="T60" s="196">
        <f t="shared" ref="T60" si="1071">IF(T61=0,0,S60+1)</f>
        <v>111</v>
      </c>
      <c r="U60" s="196">
        <f t="shared" ref="U60" si="1072">IF(U61=0,0,T60+1)</f>
        <v>112</v>
      </c>
      <c r="V60" s="196">
        <f t="shared" ref="V60" si="1073">IF(V61=0,0,U60+1)</f>
        <v>113</v>
      </c>
      <c r="W60" s="196">
        <f t="shared" ref="W60" si="1074">IF(W61=0,0,V60+1)</f>
        <v>114</v>
      </c>
      <c r="X60" s="196">
        <f t="shared" ref="X60" si="1075">IF(X61=0,0,W60+1)</f>
        <v>115</v>
      </c>
      <c r="Y60" s="196">
        <f t="shared" ref="Y60" si="1076">IF(Y61=0,0,X60+1)</f>
        <v>116</v>
      </c>
      <c r="Z60" s="196">
        <f t="shared" ref="Z60" si="1077">IF(Z61=0,0,Y60+1)</f>
        <v>117</v>
      </c>
      <c r="AA60" s="196">
        <f t="shared" ref="AA60" si="1078">IF(AA61=0,0,Z60+1)</f>
        <v>118</v>
      </c>
      <c r="AB60" s="196">
        <f t="shared" ref="AB60" si="1079">IF(AB61=0,0,AA60+1)</f>
        <v>119</v>
      </c>
      <c r="AC60" s="196">
        <f t="shared" ref="AC60" si="1080">IF(AC61=0,0,AB60+1)</f>
        <v>0</v>
      </c>
      <c r="AD60" s="196">
        <f t="shared" ref="AD60" si="1081">IF(AD61=0,0,AC60+1)</f>
        <v>0</v>
      </c>
      <c r="AE60" s="196">
        <f t="shared" ref="AE60" si="1082">IF(AE61=0,0,AD60+1)</f>
        <v>0</v>
      </c>
      <c r="AF60" s="196">
        <f t="shared" ref="AF60" si="1083">IF(AF61=0,0,AE60+1)</f>
        <v>0</v>
      </c>
      <c r="AG60" s="196">
        <f t="shared" ref="AG60" si="1084">IF(AG61=0,0,AF60+1)</f>
        <v>0</v>
      </c>
      <c r="AH60" s="196">
        <f t="shared" ref="AH60" si="1085">IF(AH61=0,0,AG60+1)</f>
        <v>0</v>
      </c>
      <c r="AI60" s="196">
        <f t="shared" ref="AI60" si="1086">IF(AI61=0,0,AH60+1)</f>
        <v>0</v>
      </c>
      <c r="AJ60" s="196">
        <f t="shared" ref="AJ60" si="1087">IF(AJ61=0,0,AI60+1)</f>
        <v>0</v>
      </c>
      <c r="AK60" s="196">
        <f t="shared" ref="AK60" si="1088">IF(AK61=0,0,AJ60+1)</f>
        <v>0</v>
      </c>
      <c r="AL60" s="196">
        <f t="shared" ref="AL60" si="1089">IF(AL61=0,0,AK60+1)</f>
        <v>0</v>
      </c>
      <c r="AM60" s="196">
        <f t="shared" ref="AM60" si="1090">IF(AM61=0,0,AL60+1)</f>
        <v>0</v>
      </c>
      <c r="AN60" s="196">
        <f t="shared" ref="AN60" si="1091">IF(AN61=0,0,AM60+1)</f>
        <v>0</v>
      </c>
      <c r="AO60" s="196">
        <f t="shared" ref="AO60" si="1092">IF(AO61=0,0,AN60+1)</f>
        <v>0</v>
      </c>
      <c r="AP60" s="196">
        <f t="shared" ref="AP60" si="1093">IF(AP61=0,0,AO60+1)</f>
        <v>0</v>
      </c>
      <c r="AQ60" s="196">
        <f t="shared" ref="AQ60" si="1094">IF(AQ61=0,0,AP60+1)</f>
        <v>0</v>
      </c>
      <c r="AR60" s="196">
        <f t="shared" ref="AR60" si="1095">IF(AR61=0,0,AQ60+1)</f>
        <v>0</v>
      </c>
      <c r="AS60" s="196">
        <f t="shared" ref="AS60" si="1096">IF(AS61=0,0,AR60+1)</f>
        <v>0</v>
      </c>
      <c r="AT60" s="196">
        <f t="shared" ref="AT60" si="1097">IF(AT61=0,0,AS60+1)</f>
        <v>0</v>
      </c>
      <c r="AU60" s="196">
        <f t="shared" ref="AU60" si="1098">IF(AU61=0,0,AT60+1)</f>
        <v>0</v>
      </c>
      <c r="AV60" s="196">
        <f t="shared" ref="AV60" si="1099">IF(AV61=0,0,AU60+1)</f>
        <v>0</v>
      </c>
      <c r="AW60" s="196">
        <f t="shared" ref="AW60" si="1100">IF(AW61=0,0,AV60+1)</f>
        <v>0</v>
      </c>
      <c r="AX60" s="196">
        <f t="shared" ref="AX60" si="1101">IF(AX61=0,0,AW60+1)</f>
        <v>0</v>
      </c>
      <c r="AY60" s="196">
        <f t="shared" ref="AY60" si="1102">IF(AY61=0,0,AX60+1)</f>
        <v>0</v>
      </c>
      <c r="AZ60" s="196">
        <f t="shared" ref="AZ60" si="1103">IF(AZ61=0,0,AY60+1)</f>
        <v>0</v>
      </c>
      <c r="BA60" s="196">
        <f t="shared" ref="BA60" si="1104">IF(BA61=0,0,AZ60+1)</f>
        <v>0</v>
      </c>
      <c r="BB60" s="196">
        <f t="shared" ref="BB60" si="1105">IF(BB61=0,0,BA60+1)</f>
        <v>0</v>
      </c>
      <c r="BC60" s="196">
        <f t="shared" ref="BC60" si="1106">IF(BC61=0,0,BB60+1)</f>
        <v>0</v>
      </c>
      <c r="BD60" s="196">
        <f t="shared" ref="BD60" si="1107">IF(BD61=0,0,BC60+1)</f>
        <v>0</v>
      </c>
      <c r="BE60" s="196">
        <f t="shared" ref="BE60" si="1108">IF(BE61=0,0,BD60+1)</f>
        <v>0</v>
      </c>
      <c r="BF60" s="196">
        <f t="shared" ref="BF60" si="1109">IF(BF61=0,0,BE60+1)</f>
        <v>0</v>
      </c>
      <c r="BG60" s="196">
        <f t="shared" ref="BG60" si="1110">IF(BG61=0,0,BF60+1)</f>
        <v>0</v>
      </c>
      <c r="BH60" s="196">
        <f t="shared" ref="BH60" si="1111">IF(BH61=0,0,BG60+1)</f>
        <v>0</v>
      </c>
      <c r="BI60" s="196">
        <f t="shared" ref="BI60" si="1112">IF(BI61=0,0,BH60+1)</f>
        <v>0</v>
      </c>
      <c r="BJ60" s="196">
        <f t="shared" ref="BJ60" si="1113">IF(BJ61=0,0,BI60+1)</f>
        <v>0</v>
      </c>
      <c r="BK60" s="196">
        <f t="shared" ref="BK60" si="1114">IF(BK61=0,0,BJ60+1)</f>
        <v>0</v>
      </c>
    </row>
    <row r="61" spans="1:63" ht="7.8" x14ac:dyDescent="0.15">
      <c r="A61" s="216" t="s">
        <v>178</v>
      </c>
      <c r="B61" s="192"/>
      <c r="C61" s="192"/>
      <c r="D61" s="192"/>
      <c r="E61" s="192"/>
      <c r="F61" s="192"/>
      <c r="G61" s="192"/>
      <c r="H61" s="192"/>
      <c r="I61" s="192"/>
      <c r="J61" s="217">
        <f>LoanSize</f>
        <v>25</v>
      </c>
      <c r="K61" s="215">
        <f>IF(J61-J64&lt;=0.1,0,J61-J64)</f>
        <v>23.811105455869676</v>
      </c>
      <c r="L61" s="215">
        <f t="shared" ref="L61:BK61" si="1115">IF(K61-K64&lt;=0.1,0,K61-K64)</f>
        <v>22.602891375397235</v>
      </c>
      <c r="M61" s="215">
        <f t="shared" si="1115"/>
        <v>21.375043816117113</v>
      </c>
      <c r="N61" s="215">
        <f t="shared" si="1115"/>
        <v>20.127243733998689</v>
      </c>
      <c r="O61" s="215">
        <f t="shared" si="1115"/>
        <v>18.859166900545844</v>
      </c>
      <c r="P61" s="215">
        <f t="shared" si="1115"/>
        <v>17.570483818549388</v>
      </c>
      <c r="Q61" s="215">
        <f t="shared" si="1115"/>
        <v>16.260859636470489</v>
      </c>
      <c r="R61" s="215">
        <f t="shared" si="1115"/>
        <v>14.929954061432809</v>
      </c>
      <c r="S61" s="215">
        <f t="shared" si="1115"/>
        <v>13.577421270800768</v>
      </c>
      <c r="T61" s="215">
        <f t="shared" si="1115"/>
        <v>12.202909822320954</v>
      </c>
      <c r="U61" s="215">
        <f t="shared" si="1115"/>
        <v>10.806062562803344</v>
      </c>
      <c r="V61" s="215">
        <f t="shared" si="1115"/>
        <v>9.3865165353185738</v>
      </c>
      <c r="W61" s="215">
        <f t="shared" si="1115"/>
        <v>7.9439028848871756</v>
      </c>
      <c r="X61" s="215">
        <f t="shared" si="1115"/>
        <v>6.4778467626362666</v>
      </c>
      <c r="Y61" s="215">
        <f t="shared" si="1115"/>
        <v>4.987967228398781</v>
      </c>
      <c r="Z61" s="215">
        <f t="shared" si="1115"/>
        <v>3.4738771517299361</v>
      </c>
      <c r="AA61" s="215">
        <f t="shared" si="1115"/>
        <v>1.9351831113152225</v>
      </c>
      <c r="AB61" s="215">
        <f t="shared" si="1115"/>
        <v>0.37148529274376973</v>
      </c>
      <c r="AC61" s="215">
        <f t="shared" si="1115"/>
        <v>0</v>
      </c>
      <c r="AD61" s="215">
        <f t="shared" si="1115"/>
        <v>0</v>
      </c>
      <c r="AE61" s="215">
        <f t="shared" si="1115"/>
        <v>0</v>
      </c>
      <c r="AF61" s="215">
        <f t="shared" si="1115"/>
        <v>0</v>
      </c>
      <c r="AG61" s="215">
        <f t="shared" si="1115"/>
        <v>0</v>
      </c>
      <c r="AH61" s="215">
        <f t="shared" si="1115"/>
        <v>0</v>
      </c>
      <c r="AI61" s="215">
        <f t="shared" si="1115"/>
        <v>0</v>
      </c>
      <c r="AJ61" s="215">
        <f t="shared" si="1115"/>
        <v>0</v>
      </c>
      <c r="AK61" s="215">
        <f t="shared" si="1115"/>
        <v>0</v>
      </c>
      <c r="AL61" s="215">
        <f t="shared" si="1115"/>
        <v>0</v>
      </c>
      <c r="AM61" s="215">
        <f t="shared" si="1115"/>
        <v>0</v>
      </c>
      <c r="AN61" s="215">
        <f t="shared" si="1115"/>
        <v>0</v>
      </c>
      <c r="AO61" s="215">
        <f t="shared" si="1115"/>
        <v>0</v>
      </c>
      <c r="AP61" s="215">
        <f t="shared" si="1115"/>
        <v>0</v>
      </c>
      <c r="AQ61" s="215">
        <f t="shared" si="1115"/>
        <v>0</v>
      </c>
      <c r="AR61" s="215">
        <f t="shared" si="1115"/>
        <v>0</v>
      </c>
      <c r="AS61" s="215">
        <f t="shared" si="1115"/>
        <v>0</v>
      </c>
      <c r="AT61" s="215">
        <f t="shared" si="1115"/>
        <v>0</v>
      </c>
      <c r="AU61" s="215">
        <f t="shared" si="1115"/>
        <v>0</v>
      </c>
      <c r="AV61" s="215">
        <f t="shared" si="1115"/>
        <v>0</v>
      </c>
      <c r="AW61" s="215">
        <f t="shared" si="1115"/>
        <v>0</v>
      </c>
      <c r="AX61" s="215">
        <f t="shared" si="1115"/>
        <v>0</v>
      </c>
      <c r="AY61" s="215">
        <f t="shared" si="1115"/>
        <v>0</v>
      </c>
      <c r="AZ61" s="215">
        <f t="shared" si="1115"/>
        <v>0</v>
      </c>
      <c r="BA61" s="215">
        <f t="shared" si="1115"/>
        <v>0</v>
      </c>
      <c r="BB61" s="215">
        <f t="shared" si="1115"/>
        <v>0</v>
      </c>
      <c r="BC61" s="215">
        <f t="shared" si="1115"/>
        <v>0</v>
      </c>
      <c r="BD61" s="215">
        <f t="shared" si="1115"/>
        <v>0</v>
      </c>
      <c r="BE61" s="215">
        <f t="shared" si="1115"/>
        <v>0</v>
      </c>
      <c r="BF61" s="215">
        <f t="shared" si="1115"/>
        <v>0</v>
      </c>
      <c r="BG61" s="215">
        <f t="shared" si="1115"/>
        <v>0</v>
      </c>
      <c r="BH61" s="215">
        <f t="shared" si="1115"/>
        <v>0</v>
      </c>
      <c r="BI61" s="215">
        <f t="shared" si="1115"/>
        <v>0</v>
      </c>
      <c r="BJ61" s="215">
        <f t="shared" si="1115"/>
        <v>0</v>
      </c>
      <c r="BK61" s="215">
        <f t="shared" si="1115"/>
        <v>0</v>
      </c>
    </row>
    <row r="62" spans="1:63" ht="7.8" x14ac:dyDescent="0.15">
      <c r="A62" s="218" t="s">
        <v>179</v>
      </c>
      <c r="B62" s="192"/>
      <c r="C62" s="192"/>
      <c r="D62" s="192"/>
      <c r="E62" s="192"/>
      <c r="F62" s="192"/>
      <c r="G62" s="192"/>
      <c r="H62" s="192"/>
      <c r="I62" s="192"/>
      <c r="J62" s="219">
        <f>IF(J61=0,0,PMT(INDEX(LoanCohortRate,1),LoanTerm, -LoanSize))</f>
        <v>1.5951445441303251</v>
      </c>
      <c r="K62" s="222">
        <f t="shared" ref="K62" si="1116">IF(K61=0,0, J62)</f>
        <v>1.5951445441303251</v>
      </c>
      <c r="L62" s="222">
        <f t="shared" ref="L62" si="1117">IF(L61=0,0, K62)</f>
        <v>1.5951445441303251</v>
      </c>
      <c r="M62" s="222">
        <f t="shared" ref="M62" si="1118">IF(M61=0,0, L62)</f>
        <v>1.5951445441303251</v>
      </c>
      <c r="N62" s="222">
        <f t="shared" ref="N62" si="1119">IF(N61=0,0, M62)</f>
        <v>1.5951445441303251</v>
      </c>
      <c r="O62" s="222">
        <f t="shared" ref="O62" si="1120">IF(O61=0,0, N62)</f>
        <v>1.5951445441303251</v>
      </c>
      <c r="P62" s="222">
        <f t="shared" ref="P62" si="1121">IF(P61=0,0, O62)</f>
        <v>1.5951445441303251</v>
      </c>
      <c r="Q62" s="222">
        <f t="shared" ref="Q62" si="1122">IF(Q61=0,0, P62)</f>
        <v>1.5951445441303251</v>
      </c>
      <c r="R62" s="222">
        <f t="shared" ref="R62" si="1123">IF(R61=0,0, Q62)</f>
        <v>1.5951445441303251</v>
      </c>
      <c r="S62" s="222">
        <f t="shared" ref="S62" si="1124">IF(S61=0,0, R62)</f>
        <v>1.5951445441303251</v>
      </c>
      <c r="T62" s="222">
        <f t="shared" ref="T62" si="1125">IF(T61=0,0, S62)</f>
        <v>1.5951445441303251</v>
      </c>
      <c r="U62" s="222">
        <f t="shared" ref="U62" si="1126">IF(U61=0,0, T62)</f>
        <v>1.5951445441303251</v>
      </c>
      <c r="V62" s="222">
        <f t="shared" ref="V62" si="1127">IF(V61=0,0, U62)</f>
        <v>1.5951445441303251</v>
      </c>
      <c r="W62" s="222">
        <f t="shared" ref="W62" si="1128">IF(W61=0,0, V62)</f>
        <v>1.5951445441303251</v>
      </c>
      <c r="X62" s="222">
        <f t="shared" ref="X62" si="1129">IF(X61=0,0, W62)</f>
        <v>1.5951445441303251</v>
      </c>
      <c r="Y62" s="222">
        <f t="shared" ref="Y62" si="1130">IF(Y61=0,0, X62)</f>
        <v>1.5951445441303251</v>
      </c>
      <c r="Z62" s="222">
        <f t="shared" ref="Z62" si="1131">IF(Z61=0,0, Y62)</f>
        <v>1.5951445441303251</v>
      </c>
      <c r="AA62" s="222">
        <f t="shared" ref="AA62" si="1132">IF(AA61=0,0, Z62)</f>
        <v>1.5951445441303251</v>
      </c>
      <c r="AB62" s="222">
        <f t="shared" ref="AB62" si="1133">IF(AB61=0,0, AA62)</f>
        <v>1.5951445441303251</v>
      </c>
      <c r="AC62" s="222">
        <f t="shared" ref="AC62" si="1134">IF(AC61=0,0, AB62)</f>
        <v>0</v>
      </c>
      <c r="AD62" s="222">
        <f t="shared" ref="AD62" si="1135">IF(AD61=0,0, AC62)</f>
        <v>0</v>
      </c>
      <c r="AE62" s="222">
        <f t="shared" ref="AE62" si="1136">IF(AE61=0,0, AD62)</f>
        <v>0</v>
      </c>
      <c r="AF62" s="222">
        <f t="shared" ref="AF62" si="1137">IF(AF61=0,0, AE62)</f>
        <v>0</v>
      </c>
      <c r="AG62" s="222">
        <f t="shared" ref="AG62" si="1138">IF(AG61=0,0, AF62)</f>
        <v>0</v>
      </c>
      <c r="AH62" s="222">
        <f t="shared" ref="AH62" si="1139">IF(AH61=0,0, AG62)</f>
        <v>0</v>
      </c>
      <c r="AI62" s="222">
        <f t="shared" ref="AI62" si="1140">IF(AI61=0,0, AH62)</f>
        <v>0</v>
      </c>
      <c r="AJ62" s="222">
        <f t="shared" ref="AJ62" si="1141">IF(AJ61=0,0, AI62)</f>
        <v>0</v>
      </c>
      <c r="AK62" s="222">
        <f t="shared" ref="AK62" si="1142">IF(AK61=0,0, AJ62)</f>
        <v>0</v>
      </c>
      <c r="AL62" s="222">
        <f t="shared" ref="AL62" si="1143">IF(AL61=0,0, AK62)</f>
        <v>0</v>
      </c>
      <c r="AM62" s="222">
        <f t="shared" ref="AM62" si="1144">IF(AM61=0,0, AL62)</f>
        <v>0</v>
      </c>
      <c r="AN62" s="222">
        <f t="shared" ref="AN62" si="1145">IF(AN61=0,0, AM62)</f>
        <v>0</v>
      </c>
      <c r="AO62" s="222">
        <f t="shared" ref="AO62" si="1146">IF(AO61=0,0, AN62)</f>
        <v>0</v>
      </c>
      <c r="AP62" s="222">
        <f t="shared" ref="AP62" si="1147">IF(AP61=0,0, AO62)</f>
        <v>0</v>
      </c>
      <c r="AQ62" s="222">
        <f t="shared" ref="AQ62" si="1148">IF(AQ61=0,0, AP62)</f>
        <v>0</v>
      </c>
      <c r="AR62" s="222">
        <f t="shared" ref="AR62" si="1149">IF(AR61=0,0, AQ62)</f>
        <v>0</v>
      </c>
      <c r="AS62" s="222">
        <f t="shared" ref="AS62" si="1150">IF(AS61=0,0, AR62)</f>
        <v>0</v>
      </c>
      <c r="AT62" s="222">
        <f t="shared" ref="AT62" si="1151">IF(AT61=0,0, AS62)</f>
        <v>0</v>
      </c>
      <c r="AU62" s="222">
        <f t="shared" ref="AU62" si="1152">IF(AU61=0,0, AT62)</f>
        <v>0</v>
      </c>
      <c r="AV62" s="222">
        <f t="shared" ref="AV62" si="1153">IF(AV61=0,0, AU62)</f>
        <v>0</v>
      </c>
      <c r="AW62" s="222">
        <f t="shared" ref="AW62" si="1154">IF(AW61=0,0, AV62)</f>
        <v>0</v>
      </c>
      <c r="AX62" s="222">
        <f t="shared" ref="AX62" si="1155">IF(AX61=0,0, AW62)</f>
        <v>0</v>
      </c>
      <c r="AY62" s="222">
        <f t="shared" ref="AY62" si="1156">IF(AY61=0,0, AX62)</f>
        <v>0</v>
      </c>
      <c r="AZ62" s="222">
        <f t="shared" ref="AZ62" si="1157">IF(AZ61=0,0, AY62)</f>
        <v>0</v>
      </c>
      <c r="BA62" s="222">
        <f t="shared" ref="BA62" si="1158">IF(BA61=0,0, AZ62)</f>
        <v>0</v>
      </c>
      <c r="BB62" s="222">
        <f t="shared" ref="BB62" si="1159">IF(BB61=0,0, BA62)</f>
        <v>0</v>
      </c>
      <c r="BC62" s="222">
        <f t="shared" ref="BC62" si="1160">IF(BC61=0,0, BB62)</f>
        <v>0</v>
      </c>
      <c r="BD62" s="222">
        <f t="shared" ref="BD62" si="1161">IF(BD61=0,0, BC62)</f>
        <v>0</v>
      </c>
      <c r="BE62" s="222">
        <f t="shared" ref="BE62" si="1162">IF(BE61=0,0, BD62)</f>
        <v>0</v>
      </c>
      <c r="BF62" s="222">
        <f t="shared" ref="BF62" si="1163">IF(BF61=0,0, BE62)</f>
        <v>0</v>
      </c>
      <c r="BG62" s="222">
        <f t="shared" ref="BG62" si="1164">IF(BG61=0,0, BF62)</f>
        <v>0</v>
      </c>
      <c r="BH62" s="222">
        <f t="shared" ref="BH62" si="1165">IF(BH61=0,0, BG62)</f>
        <v>0</v>
      </c>
      <c r="BI62" s="222">
        <f t="shared" ref="BI62" si="1166">IF(BI61=0,0, BH62)</f>
        <v>0</v>
      </c>
      <c r="BJ62" s="222">
        <f t="shared" ref="BJ62" si="1167">IF(BJ61=0,0, BI62)</f>
        <v>0</v>
      </c>
      <c r="BK62" s="222">
        <f t="shared" ref="BK62" si="1168">IF(BK61=0,0, BJ62)</f>
        <v>0</v>
      </c>
    </row>
    <row r="63" spans="1:63" ht="7.8" x14ac:dyDescent="0.15">
      <c r="A63" s="218" t="s">
        <v>180</v>
      </c>
      <c r="B63" s="192"/>
      <c r="C63" s="192"/>
      <c r="D63" s="192"/>
      <c r="E63" s="192"/>
      <c r="F63" s="192"/>
      <c r="G63" s="192"/>
      <c r="H63" s="192"/>
      <c r="I63" s="192"/>
      <c r="J63" s="220" cm="1">
        <f t="array" ref="J63">J61*INDEX(LoanCohortRate,$A60)</f>
        <v>0.40625</v>
      </c>
      <c r="K63" s="221" cm="1">
        <f t="array" ref="K63">K61*INDEX(LoanCohortRate,$A60)</f>
        <v>0.38693046365788225</v>
      </c>
      <c r="L63" s="221" cm="1">
        <f t="array" ref="L63">L61*INDEX(LoanCohortRate,$A60)</f>
        <v>0.36729698485020507</v>
      </c>
      <c r="M63" s="221" cm="1">
        <f t="array" ref="M63">M61*INDEX(LoanCohortRate,$A60)</f>
        <v>0.34734446201190311</v>
      </c>
      <c r="N63" s="221" cm="1">
        <f t="array" ref="N63">N61*INDEX(LoanCohortRate,$A60)</f>
        <v>0.3270677106774787</v>
      </c>
      <c r="O63" s="221" cm="1">
        <f t="array" ref="O63">O61*INDEX(LoanCohortRate,$A60)</f>
        <v>0.30646146213386999</v>
      </c>
      <c r="P63" s="221" cm="1">
        <f t="array" ref="P63">P61*INDEX(LoanCohortRate,$A60)</f>
        <v>0.28552036205142756</v>
      </c>
      <c r="Q63" s="221" cm="1">
        <f t="array" ref="Q63">Q61*INDEX(LoanCohortRate,$A60)</f>
        <v>0.26423896909264544</v>
      </c>
      <c r="R63" s="221" cm="1">
        <f t="array" ref="R63">R61*INDEX(LoanCohortRate,$A60)</f>
        <v>0.24261175349828315</v>
      </c>
      <c r="S63" s="221" cm="1">
        <f t="array" ref="S63">S61*INDEX(LoanCohortRate,$A60)</f>
        <v>0.22063309565051248</v>
      </c>
      <c r="T63" s="221" cm="1">
        <f t="array" ref="T63">T61*INDEX(LoanCohortRate,$A60)</f>
        <v>0.19829728461271551</v>
      </c>
      <c r="U63" s="221" cm="1">
        <f t="array" ref="U63">U61*INDEX(LoanCohortRate,$A60)</f>
        <v>0.17559851664555434</v>
      </c>
      <c r="V63" s="221" cm="1">
        <f t="array" ref="V63">V61*INDEX(LoanCohortRate,$A60)</f>
        <v>0.15253089369892683</v>
      </c>
      <c r="W63" s="221" cm="1">
        <f t="array" ref="W63">W61*INDEX(LoanCohortRate,$A60)</f>
        <v>0.1290884218794166</v>
      </c>
      <c r="X63" s="221" cm="1">
        <f t="array" ref="X63">X61*INDEX(LoanCohortRate,$A60)</f>
        <v>0.10526500989283934</v>
      </c>
      <c r="Y63" s="221" cm="1">
        <f t="array" ref="Y63">Y61*INDEX(LoanCohortRate,$A60)</f>
        <v>8.1054467461480192E-2</v>
      </c>
      <c r="Z63" s="221" cm="1">
        <f t="array" ref="Z63">Z61*INDEX(LoanCohortRate,$A60)</f>
        <v>5.6450503715611465E-2</v>
      </c>
      <c r="AA63" s="221" cm="1">
        <f t="array" ref="AA63">AA61*INDEX(LoanCohortRate,$A60)</f>
        <v>3.1446725558872367E-2</v>
      </c>
      <c r="AB63" s="221" cm="1">
        <f t="array" ref="AB63">AB61*INDEX(LoanCohortRate,$A60)</f>
        <v>6.0366360070862584E-3</v>
      </c>
      <c r="AC63" s="221" cm="1">
        <f t="array" ref="AC63">AC61*INDEX(LoanCohortRate,$A60)</f>
        <v>0</v>
      </c>
      <c r="AD63" s="221" cm="1">
        <f t="array" ref="AD63">AD61*INDEX(LoanCohortRate,$A60)</f>
        <v>0</v>
      </c>
      <c r="AE63" s="221" cm="1">
        <f t="array" ref="AE63">AE61*INDEX(LoanCohortRate,$A60)</f>
        <v>0</v>
      </c>
      <c r="AF63" s="221" cm="1">
        <f t="array" ref="AF63">AF61*INDEX(LoanCohortRate,$A60)</f>
        <v>0</v>
      </c>
      <c r="AG63" s="221" cm="1">
        <f t="array" ref="AG63">AG61*INDEX(LoanCohortRate,$A60)</f>
        <v>0</v>
      </c>
      <c r="AH63" s="221" cm="1">
        <f t="array" ref="AH63">AH61*INDEX(LoanCohortRate,$A60)</f>
        <v>0</v>
      </c>
      <c r="AI63" s="221" cm="1">
        <f t="array" ref="AI63">AI61*INDEX(LoanCohortRate,$A60)</f>
        <v>0</v>
      </c>
      <c r="AJ63" s="221" cm="1">
        <f t="array" ref="AJ63">AJ61*INDEX(LoanCohortRate,$A60)</f>
        <v>0</v>
      </c>
      <c r="AK63" s="221" cm="1">
        <f t="array" ref="AK63">AK61*INDEX(LoanCohortRate,$A60)</f>
        <v>0</v>
      </c>
      <c r="AL63" s="221" cm="1">
        <f t="array" ref="AL63">AL61*INDEX(LoanCohortRate,$A60)</f>
        <v>0</v>
      </c>
      <c r="AM63" s="221" cm="1">
        <f t="array" ref="AM63">AM61*INDEX(LoanCohortRate,$A60)</f>
        <v>0</v>
      </c>
      <c r="AN63" s="221" cm="1">
        <f t="array" ref="AN63">AN61*INDEX(LoanCohortRate,$A60)</f>
        <v>0</v>
      </c>
      <c r="AO63" s="221" cm="1">
        <f t="array" ref="AO63">AO61*INDEX(LoanCohortRate,$A60)</f>
        <v>0</v>
      </c>
      <c r="AP63" s="221" cm="1">
        <f t="array" ref="AP63">AP61*INDEX(LoanCohortRate,$A60)</f>
        <v>0</v>
      </c>
      <c r="AQ63" s="221" cm="1">
        <f t="array" ref="AQ63">AQ61*INDEX(LoanCohortRate,$A60)</f>
        <v>0</v>
      </c>
      <c r="AR63" s="221" cm="1">
        <f t="array" ref="AR63">AR61*INDEX(LoanCohortRate,$A60)</f>
        <v>0</v>
      </c>
      <c r="AS63" s="221" cm="1">
        <f t="array" ref="AS63">AS61*INDEX(LoanCohortRate,$A60)</f>
        <v>0</v>
      </c>
      <c r="AT63" s="221" cm="1">
        <f t="array" ref="AT63">AT61*INDEX(LoanCohortRate,$A60)</f>
        <v>0</v>
      </c>
      <c r="AU63" s="221" cm="1">
        <f t="array" ref="AU63">AU61*INDEX(LoanCohortRate,$A60)</f>
        <v>0</v>
      </c>
      <c r="AV63" s="221" cm="1">
        <f t="array" ref="AV63">AV61*INDEX(LoanCohortRate,$A60)</f>
        <v>0</v>
      </c>
      <c r="AW63" s="221" cm="1">
        <f t="array" ref="AW63">AW61*INDEX(LoanCohortRate,$A60)</f>
        <v>0</v>
      </c>
      <c r="AX63" s="221" cm="1">
        <f t="array" ref="AX63">AX61*INDEX(LoanCohortRate,$A60)</f>
        <v>0</v>
      </c>
      <c r="AY63" s="221" cm="1">
        <f t="array" ref="AY63">AY61*INDEX(LoanCohortRate,$A60)</f>
        <v>0</v>
      </c>
      <c r="AZ63" s="221" cm="1">
        <f t="array" ref="AZ63">AZ61*INDEX(LoanCohortRate,$A60)</f>
        <v>0</v>
      </c>
      <c r="BA63" s="221" cm="1">
        <f t="array" ref="BA63">BA61*INDEX(LoanCohortRate,$A60)</f>
        <v>0</v>
      </c>
      <c r="BB63" s="221" cm="1">
        <f t="array" ref="BB63">BB61*INDEX(LoanCohortRate,$A60)</f>
        <v>0</v>
      </c>
      <c r="BC63" s="221" cm="1">
        <f t="array" ref="BC63">BC61*INDEX(LoanCohortRate,$A60)</f>
        <v>0</v>
      </c>
      <c r="BD63" s="221" cm="1">
        <f t="array" ref="BD63">BD61*INDEX(LoanCohortRate,$A60)</f>
        <v>0</v>
      </c>
      <c r="BE63" s="221" cm="1">
        <f t="array" ref="BE63">BE61*INDEX(LoanCohortRate,$A60)</f>
        <v>0</v>
      </c>
      <c r="BF63" s="221" cm="1">
        <f t="array" ref="BF63">BF61*INDEX(LoanCohortRate,$A60)</f>
        <v>0</v>
      </c>
      <c r="BG63" s="221" cm="1">
        <f t="array" ref="BG63">BG61*INDEX(LoanCohortRate,$A60)</f>
        <v>0</v>
      </c>
      <c r="BH63" s="221" cm="1">
        <f t="array" ref="BH63">BH61*INDEX(LoanCohortRate,$A60)</f>
        <v>0</v>
      </c>
      <c r="BI63" s="221" cm="1">
        <f t="array" ref="BI63">BI61*INDEX(LoanCohortRate,$A60)</f>
        <v>0</v>
      </c>
      <c r="BJ63" s="221" cm="1">
        <f t="array" ref="BJ63">BJ61*INDEX(LoanCohortRate,$A60)</f>
        <v>0</v>
      </c>
      <c r="BK63" s="221" cm="1">
        <f t="array" ref="BK63">BK61*INDEX(LoanCohortRate,$A60)</f>
        <v>0</v>
      </c>
    </row>
    <row r="64" spans="1:63" ht="7.8" x14ac:dyDescent="0.15">
      <c r="A64" s="218" t="s">
        <v>177</v>
      </c>
      <c r="B64" s="192"/>
      <c r="C64" s="192"/>
      <c r="D64" s="192"/>
      <c r="E64" s="192"/>
      <c r="F64" s="192"/>
      <c r="G64" s="192"/>
      <c r="H64" s="192"/>
      <c r="I64" s="192"/>
      <c r="J64" s="219">
        <f>J62-J63</f>
        <v>1.1888945441303251</v>
      </c>
      <c r="K64" s="222">
        <f t="shared" ref="K64:BK64" si="1169">K62-K63</f>
        <v>1.2082140804724428</v>
      </c>
      <c r="L64" s="222">
        <f t="shared" si="1169"/>
        <v>1.2278475592801201</v>
      </c>
      <c r="M64" s="222">
        <f t="shared" si="1169"/>
        <v>1.2478000821184221</v>
      </c>
      <c r="N64" s="222">
        <f t="shared" si="1169"/>
        <v>1.2680768334528465</v>
      </c>
      <c r="O64" s="222">
        <f t="shared" si="1169"/>
        <v>1.2886830819964552</v>
      </c>
      <c r="P64" s="222">
        <f t="shared" si="1169"/>
        <v>1.3096241820788976</v>
      </c>
      <c r="Q64" s="222">
        <f t="shared" si="1169"/>
        <v>1.3309055750376797</v>
      </c>
      <c r="R64" s="222">
        <f t="shared" si="1169"/>
        <v>1.3525327906320419</v>
      </c>
      <c r="S64" s="222">
        <f t="shared" si="1169"/>
        <v>1.3745114484798127</v>
      </c>
      <c r="T64" s="222">
        <f t="shared" si="1169"/>
        <v>1.3968472595176096</v>
      </c>
      <c r="U64" s="222">
        <f t="shared" si="1169"/>
        <v>1.4195460274847709</v>
      </c>
      <c r="V64" s="222">
        <f t="shared" si="1169"/>
        <v>1.4426136504313982</v>
      </c>
      <c r="W64" s="222">
        <f t="shared" si="1169"/>
        <v>1.4660561222509085</v>
      </c>
      <c r="X64" s="222">
        <f t="shared" si="1169"/>
        <v>1.4898795342374858</v>
      </c>
      <c r="Y64" s="222">
        <f t="shared" si="1169"/>
        <v>1.514090076668845</v>
      </c>
      <c r="Z64" s="222">
        <f t="shared" si="1169"/>
        <v>1.5386940404147136</v>
      </c>
      <c r="AA64" s="222">
        <f t="shared" si="1169"/>
        <v>1.5636978185714527</v>
      </c>
      <c r="AB64" s="222">
        <f t="shared" si="1169"/>
        <v>1.5891079081232389</v>
      </c>
      <c r="AC64" s="222">
        <f t="shared" si="1169"/>
        <v>0</v>
      </c>
      <c r="AD64" s="222">
        <f t="shared" si="1169"/>
        <v>0</v>
      </c>
      <c r="AE64" s="222">
        <f t="shared" si="1169"/>
        <v>0</v>
      </c>
      <c r="AF64" s="222">
        <f t="shared" si="1169"/>
        <v>0</v>
      </c>
      <c r="AG64" s="222">
        <f t="shared" si="1169"/>
        <v>0</v>
      </c>
      <c r="AH64" s="222">
        <f t="shared" si="1169"/>
        <v>0</v>
      </c>
      <c r="AI64" s="222">
        <f t="shared" si="1169"/>
        <v>0</v>
      </c>
      <c r="AJ64" s="222">
        <f t="shared" si="1169"/>
        <v>0</v>
      </c>
      <c r="AK64" s="222">
        <f t="shared" si="1169"/>
        <v>0</v>
      </c>
      <c r="AL64" s="222">
        <f t="shared" si="1169"/>
        <v>0</v>
      </c>
      <c r="AM64" s="222">
        <f t="shared" si="1169"/>
        <v>0</v>
      </c>
      <c r="AN64" s="222">
        <f t="shared" si="1169"/>
        <v>0</v>
      </c>
      <c r="AO64" s="222">
        <f t="shared" si="1169"/>
        <v>0</v>
      </c>
      <c r="AP64" s="222">
        <f t="shared" si="1169"/>
        <v>0</v>
      </c>
      <c r="AQ64" s="222">
        <f t="shared" si="1169"/>
        <v>0</v>
      </c>
      <c r="AR64" s="222">
        <f t="shared" si="1169"/>
        <v>0</v>
      </c>
      <c r="AS64" s="222">
        <f t="shared" si="1169"/>
        <v>0</v>
      </c>
      <c r="AT64" s="222">
        <f t="shared" si="1169"/>
        <v>0</v>
      </c>
      <c r="AU64" s="222">
        <f t="shared" si="1169"/>
        <v>0</v>
      </c>
      <c r="AV64" s="222">
        <f t="shared" si="1169"/>
        <v>0</v>
      </c>
      <c r="AW64" s="222">
        <f t="shared" si="1169"/>
        <v>0</v>
      </c>
      <c r="AX64" s="222">
        <f t="shared" si="1169"/>
        <v>0</v>
      </c>
      <c r="AY64" s="222">
        <f t="shared" si="1169"/>
        <v>0</v>
      </c>
      <c r="AZ64" s="222">
        <f t="shared" si="1169"/>
        <v>0</v>
      </c>
      <c r="BA64" s="222">
        <f t="shared" si="1169"/>
        <v>0</v>
      </c>
      <c r="BB64" s="222">
        <f t="shared" si="1169"/>
        <v>0</v>
      </c>
      <c r="BC64" s="222">
        <f t="shared" si="1169"/>
        <v>0</v>
      </c>
      <c r="BD64" s="222">
        <f t="shared" si="1169"/>
        <v>0</v>
      </c>
      <c r="BE64" s="222">
        <f t="shared" si="1169"/>
        <v>0</v>
      </c>
      <c r="BF64" s="222">
        <f t="shared" si="1169"/>
        <v>0</v>
      </c>
      <c r="BG64" s="222">
        <f t="shared" si="1169"/>
        <v>0</v>
      </c>
      <c r="BH64" s="222">
        <f t="shared" si="1169"/>
        <v>0</v>
      </c>
      <c r="BI64" s="222">
        <f t="shared" si="1169"/>
        <v>0</v>
      </c>
      <c r="BJ64" s="222">
        <f t="shared" si="1169"/>
        <v>0</v>
      </c>
      <c r="BK64" s="222">
        <f t="shared" si="1169"/>
        <v>0</v>
      </c>
    </row>
    <row r="65" spans="1:63" ht="7.8" x14ac:dyDescent="0.15">
      <c r="A65" s="205" t="s">
        <v>7</v>
      </c>
      <c r="B65" s="192"/>
      <c r="C65" s="192"/>
      <c r="D65" s="192"/>
      <c r="E65" s="192"/>
      <c r="F65" s="192"/>
      <c r="G65" s="192"/>
      <c r="H65" s="192"/>
      <c r="I65" s="192"/>
      <c r="J65" s="214" cm="1">
        <f t="array" ref="J65">INDEX(LoanOriginations,$A60)</f>
        <v>103.03775093937648</v>
      </c>
      <c r="K65" s="199">
        <f t="shared" ref="K65:AP65" si="1170">J65*(1-MitigateDelinquency*MitigateChargeoff)  *  IF(K60=0,0,IF(K60-102=LoanSaleHeld,0.6,1))</f>
        <v>102.9347131884371</v>
      </c>
      <c r="L65" s="199">
        <f t="shared" si="1170"/>
        <v>102.83177847524867</v>
      </c>
      <c r="M65" s="199">
        <f t="shared" si="1170"/>
        <v>102.72894669677342</v>
      </c>
      <c r="N65" s="199">
        <f t="shared" si="1170"/>
        <v>61.575730650045983</v>
      </c>
      <c r="O65" s="199">
        <f t="shared" si="1170"/>
        <v>61.514154919395935</v>
      </c>
      <c r="P65" s="199">
        <f t="shared" si="1170"/>
        <v>61.452640764476541</v>
      </c>
      <c r="Q65" s="199">
        <f t="shared" si="1170"/>
        <v>61.391188123712062</v>
      </c>
      <c r="R65" s="199">
        <f t="shared" si="1170"/>
        <v>61.329796935588348</v>
      </c>
      <c r="S65" s="199">
        <f t="shared" si="1170"/>
        <v>61.26846713865276</v>
      </c>
      <c r="T65" s="199">
        <f t="shared" si="1170"/>
        <v>61.207198671514107</v>
      </c>
      <c r="U65" s="199">
        <f t="shared" si="1170"/>
        <v>61.145991472842596</v>
      </c>
      <c r="V65" s="199">
        <f t="shared" si="1170"/>
        <v>61.084845481369754</v>
      </c>
      <c r="W65" s="199">
        <f t="shared" si="1170"/>
        <v>61.023760635888387</v>
      </c>
      <c r="X65" s="199">
        <f t="shared" si="1170"/>
        <v>60.962736875252496</v>
      </c>
      <c r="Y65" s="199">
        <f t="shared" si="1170"/>
        <v>60.901774138377242</v>
      </c>
      <c r="Z65" s="199">
        <f t="shared" si="1170"/>
        <v>60.840872364238862</v>
      </c>
      <c r="AA65" s="199">
        <f t="shared" si="1170"/>
        <v>60.780031491874624</v>
      </c>
      <c r="AB65" s="199">
        <f t="shared" si="1170"/>
        <v>60.71925146038275</v>
      </c>
      <c r="AC65" s="199">
        <f t="shared" si="1170"/>
        <v>0</v>
      </c>
      <c r="AD65" s="199">
        <f t="shared" si="1170"/>
        <v>0</v>
      </c>
      <c r="AE65" s="199">
        <f t="shared" si="1170"/>
        <v>0</v>
      </c>
      <c r="AF65" s="199">
        <f t="shared" si="1170"/>
        <v>0</v>
      </c>
      <c r="AG65" s="199">
        <f t="shared" si="1170"/>
        <v>0</v>
      </c>
      <c r="AH65" s="199">
        <f t="shared" si="1170"/>
        <v>0</v>
      </c>
      <c r="AI65" s="199">
        <f t="shared" si="1170"/>
        <v>0</v>
      </c>
      <c r="AJ65" s="199">
        <f t="shared" si="1170"/>
        <v>0</v>
      </c>
      <c r="AK65" s="199">
        <f t="shared" si="1170"/>
        <v>0</v>
      </c>
      <c r="AL65" s="199">
        <f t="shared" si="1170"/>
        <v>0</v>
      </c>
      <c r="AM65" s="199">
        <f t="shared" si="1170"/>
        <v>0</v>
      </c>
      <c r="AN65" s="199">
        <f t="shared" si="1170"/>
        <v>0</v>
      </c>
      <c r="AO65" s="199">
        <f t="shared" si="1170"/>
        <v>0</v>
      </c>
      <c r="AP65" s="199">
        <f t="shared" si="1170"/>
        <v>0</v>
      </c>
      <c r="AQ65" s="199">
        <f t="shared" ref="AQ65:BK65" si="1171">AP65*(1-MitigateDelinquency*MitigateChargeoff)  *  IF(AQ60=0,0,IF(AQ60-102=LoanSaleHeld,0.6,1))</f>
        <v>0</v>
      </c>
      <c r="AR65" s="199">
        <f t="shared" si="1171"/>
        <v>0</v>
      </c>
      <c r="AS65" s="199">
        <f t="shared" si="1171"/>
        <v>0</v>
      </c>
      <c r="AT65" s="199">
        <f t="shared" si="1171"/>
        <v>0</v>
      </c>
      <c r="AU65" s="199">
        <f t="shared" si="1171"/>
        <v>0</v>
      </c>
      <c r="AV65" s="199">
        <f t="shared" si="1171"/>
        <v>0</v>
      </c>
      <c r="AW65" s="199">
        <f t="shared" si="1171"/>
        <v>0</v>
      </c>
      <c r="AX65" s="199">
        <f t="shared" si="1171"/>
        <v>0</v>
      </c>
      <c r="AY65" s="199">
        <f t="shared" si="1171"/>
        <v>0</v>
      </c>
      <c r="AZ65" s="199">
        <f t="shared" si="1171"/>
        <v>0</v>
      </c>
      <c r="BA65" s="199">
        <f t="shared" si="1171"/>
        <v>0</v>
      </c>
      <c r="BB65" s="199">
        <f t="shared" si="1171"/>
        <v>0</v>
      </c>
      <c r="BC65" s="199">
        <f t="shared" si="1171"/>
        <v>0</v>
      </c>
      <c r="BD65" s="199">
        <f t="shared" si="1171"/>
        <v>0</v>
      </c>
      <c r="BE65" s="199">
        <f t="shared" si="1171"/>
        <v>0</v>
      </c>
      <c r="BF65" s="199">
        <f t="shared" si="1171"/>
        <v>0</v>
      </c>
      <c r="BG65" s="199">
        <f t="shared" si="1171"/>
        <v>0</v>
      </c>
      <c r="BH65" s="199">
        <f t="shared" si="1171"/>
        <v>0</v>
      </c>
      <c r="BI65" s="199">
        <f t="shared" si="1171"/>
        <v>0</v>
      </c>
      <c r="BJ65" s="199">
        <f t="shared" si="1171"/>
        <v>0</v>
      </c>
      <c r="BK65" s="199">
        <f t="shared" si="1171"/>
        <v>0</v>
      </c>
    </row>
    <row r="66" spans="1:63" ht="7.8" x14ac:dyDescent="0.15">
      <c r="A66" s="207" t="s">
        <v>96</v>
      </c>
      <c r="B66" s="192"/>
      <c r="C66" s="192"/>
      <c r="D66" s="192"/>
      <c r="E66" s="192"/>
      <c r="F66" s="192"/>
      <c r="G66" s="192"/>
      <c r="H66" s="192"/>
      <c r="I66" s="192"/>
      <c r="J66" s="223">
        <f>J63*J65</f>
        <v>41.859086319121694</v>
      </c>
      <c r="K66" s="200">
        <f t="shared" ref="K66" si="1172">K63*K65</f>
        <v>39.828576300493097</v>
      </c>
      <c r="L66" s="200">
        <f t="shared" ref="L66" si="1173">L63*L65</f>
        <v>37.769802180743056</v>
      </c>
      <c r="M66" s="200">
        <f t="shared" ref="M66" si="1174">M63*M65</f>
        <v>35.682330723440238</v>
      </c>
      <c r="N66" s="200">
        <f t="shared" ref="N66" si="1175">N63*N65</f>
        <v>20.139433257003596</v>
      </c>
      <c r="O66" s="200">
        <f t="shared" ref="O66" si="1176">O63*O65</f>
        <v>18.851717858527469</v>
      </c>
      <c r="P66" s="200">
        <f t="shared" ref="P66" si="1177">P63*P65</f>
        <v>17.545980240089659</v>
      </c>
      <c r="Q66" s="200">
        <f t="shared" ref="Q66" si="1178">Q63*Q65</f>
        <v>16.221944261182333</v>
      </c>
      <c r="R66" s="200">
        <f t="shared" ref="R66" si="1179">R63*R65</f>
        <v>14.879329576236721</v>
      </c>
      <c r="S66" s="200">
        <f t="shared" ref="S66" si="1180">S63*S65</f>
        <v>13.517851570562655</v>
      </c>
      <c r="T66" s="200">
        <f t="shared" ref="T66" si="1181">T63*T65</f>
        <v>12.137221295312255</v>
      </c>
      <c r="U66" s="200">
        <f t="shared" ref="U66" si="1182">U63*U65</f>
        <v>10.737145401452874</v>
      </c>
      <c r="V66" s="200">
        <f t="shared" ref="V66" si="1183">V63*V65</f>
        <v>9.3173260727341809</v>
      </c>
      <c r="W66" s="200">
        <f t="shared" ref="W66" si="1184">W63*W65</f>
        <v>7.8774609576340957</v>
      </c>
      <c r="X66" s="200">
        <f t="shared" ref="X66" si="1185">X63*X65</f>
        <v>6.4172431002680153</v>
      </c>
      <c r="Y66" s="200">
        <f t="shared" ref="Y66" si="1186">Y63*Y65</f>
        <v>4.9363608702455144</v>
      </c>
      <c r="Z66" s="200">
        <f t="shared" ref="Z66" si="1187">Z63*Z65</f>
        <v>3.4344978914585087</v>
      </c>
      <c r="AA66" s="200">
        <f t="shared" ref="AA66" si="1188">AA63*AA65</f>
        <v>1.9113329697846011</v>
      </c>
      <c r="AB66" s="200">
        <f t="shared" ref="AB66" si="1189">AB63*AB65</f>
        <v>0.36654001968907141</v>
      </c>
      <c r="AC66" s="200">
        <f t="shared" ref="AC66" si="1190">AC63*AC65</f>
        <v>0</v>
      </c>
      <c r="AD66" s="200">
        <f t="shared" ref="AD66" si="1191">AD63*AD65</f>
        <v>0</v>
      </c>
      <c r="AE66" s="200">
        <f t="shared" ref="AE66" si="1192">AE63*AE65</f>
        <v>0</v>
      </c>
      <c r="AF66" s="200">
        <f t="shared" ref="AF66" si="1193">AF63*AF65</f>
        <v>0</v>
      </c>
      <c r="AG66" s="200">
        <f t="shared" ref="AG66" si="1194">AG63*AG65</f>
        <v>0</v>
      </c>
      <c r="AH66" s="200">
        <f t="shared" ref="AH66" si="1195">AH63*AH65</f>
        <v>0</v>
      </c>
      <c r="AI66" s="200">
        <f t="shared" ref="AI66" si="1196">AI63*AI65</f>
        <v>0</v>
      </c>
      <c r="AJ66" s="200">
        <f t="shared" ref="AJ66" si="1197">AJ63*AJ65</f>
        <v>0</v>
      </c>
      <c r="AK66" s="200">
        <f t="shared" ref="AK66" si="1198">AK63*AK65</f>
        <v>0</v>
      </c>
      <c r="AL66" s="200">
        <f t="shared" ref="AL66" si="1199">AL63*AL65</f>
        <v>0</v>
      </c>
      <c r="AM66" s="200">
        <f t="shared" ref="AM66" si="1200">AM63*AM65</f>
        <v>0</v>
      </c>
      <c r="AN66" s="200">
        <f t="shared" ref="AN66" si="1201">AN63*AN65</f>
        <v>0</v>
      </c>
      <c r="AO66" s="200">
        <f t="shared" ref="AO66" si="1202">AO63*AO65</f>
        <v>0</v>
      </c>
      <c r="AP66" s="200">
        <f t="shared" ref="AP66" si="1203">AP63*AP65</f>
        <v>0</v>
      </c>
      <c r="AQ66" s="200">
        <f t="shared" ref="AQ66" si="1204">AQ63*AQ65</f>
        <v>0</v>
      </c>
      <c r="AR66" s="200">
        <f t="shared" ref="AR66" si="1205">AR63*AR65</f>
        <v>0</v>
      </c>
      <c r="AS66" s="200">
        <f t="shared" ref="AS66" si="1206">AS63*AS65</f>
        <v>0</v>
      </c>
      <c r="AT66" s="200">
        <f t="shared" ref="AT66" si="1207">AT63*AT65</f>
        <v>0</v>
      </c>
      <c r="AU66" s="200">
        <f t="shared" ref="AU66" si="1208">AU63*AU65</f>
        <v>0</v>
      </c>
      <c r="AV66" s="200">
        <f t="shared" ref="AV66" si="1209">AV63*AV65</f>
        <v>0</v>
      </c>
      <c r="AW66" s="200">
        <f t="shared" ref="AW66" si="1210">AW63*AW65</f>
        <v>0</v>
      </c>
      <c r="AX66" s="200">
        <f t="shared" ref="AX66" si="1211">AX63*AX65</f>
        <v>0</v>
      </c>
      <c r="AY66" s="200">
        <f t="shared" ref="AY66" si="1212">AY63*AY65</f>
        <v>0</v>
      </c>
      <c r="AZ66" s="200">
        <f t="shared" ref="AZ66" si="1213">AZ63*AZ65</f>
        <v>0</v>
      </c>
      <c r="BA66" s="200">
        <f t="shared" ref="BA66" si="1214">BA63*BA65</f>
        <v>0</v>
      </c>
      <c r="BB66" s="200">
        <f t="shared" ref="BB66" si="1215">BB63*BB65</f>
        <v>0</v>
      </c>
      <c r="BC66" s="200">
        <f t="shared" ref="BC66" si="1216">BC63*BC65</f>
        <v>0</v>
      </c>
      <c r="BD66" s="200">
        <f t="shared" ref="BD66" si="1217">BD63*BD65</f>
        <v>0</v>
      </c>
      <c r="BE66" s="200">
        <f t="shared" ref="BE66" si="1218">BE63*BE65</f>
        <v>0</v>
      </c>
      <c r="BF66" s="200">
        <f t="shared" ref="BF66" si="1219">BF63*BF65</f>
        <v>0</v>
      </c>
      <c r="BG66" s="200">
        <f t="shared" ref="BG66" si="1220">BG63*BG65</f>
        <v>0</v>
      </c>
      <c r="BH66" s="200">
        <f t="shared" ref="BH66" si="1221">BH63*BH65</f>
        <v>0</v>
      </c>
      <c r="BI66" s="200">
        <f t="shared" ref="BI66" si="1222">BI63*BI65</f>
        <v>0</v>
      </c>
      <c r="BJ66" s="200">
        <f t="shared" ref="BJ66" si="1223">BJ63*BJ65</f>
        <v>0</v>
      </c>
      <c r="BK66" s="200">
        <f t="shared" ref="BK66" si="1224">BK63*BK65</f>
        <v>0</v>
      </c>
    </row>
    <row r="67" spans="1:63" ht="7.8" x14ac:dyDescent="0.15">
      <c r="A67" s="206" t="s">
        <v>97</v>
      </c>
      <c r="B67" s="192"/>
      <c r="C67" s="192"/>
      <c r="D67" s="192"/>
      <c r="E67" s="192"/>
      <c r="F67" s="192"/>
      <c r="G67" s="192"/>
      <c r="H67" s="192"/>
      <c r="I67" s="192"/>
      <c r="J67" s="223">
        <f>J64*J65</f>
        <v>122.50101993128398</v>
      </c>
      <c r="K67" s="200">
        <f>K64*K65</f>
        <v>124.36716984366217</v>
      </c>
      <c r="L67" s="200">
        <f t="shared" ref="L67:BK67" si="1225">L64*L65</f>
        <v>126.26174821726806</v>
      </c>
      <c r="M67" s="200">
        <f t="shared" si="1225"/>
        <v>128.18518812417287</v>
      </c>
      <c r="N67" s="200">
        <f t="shared" si="1225"/>
        <v>78.082757540255699</v>
      </c>
      <c r="O67" s="200">
        <f t="shared" si="1225"/>
        <v>79.272250747934564</v>
      </c>
      <c r="P67" s="200">
        <f t="shared" si="1225"/>
        <v>80.479864397765908</v>
      </c>
      <c r="Q67" s="200">
        <f t="shared" si="1225"/>
        <v>81.705874532035381</v>
      </c>
      <c r="R67" s="200">
        <f t="shared" si="1225"/>
        <v>82.950561398187759</v>
      </c>
      <c r="S67" s="200">
        <f t="shared" si="1225"/>
        <v>84.214209512887408</v>
      </c>
      <c r="T67" s="200">
        <f t="shared" si="1225"/>
        <v>85.497107727054356</v>
      </c>
      <c r="U67" s="200">
        <f t="shared" si="1225"/>
        <v>86.799549291891381</v>
      </c>
      <c r="V67" s="200">
        <f t="shared" si="1225"/>
        <v>88.121831925916723</v>
      </c>
      <c r="W67" s="200">
        <f t="shared" si="1225"/>
        <v>89.464257883018163</v>
      </c>
      <c r="X67" s="200">
        <f t="shared" si="1225"/>
        <v>90.827134021543586</v>
      </c>
      <c r="Y67" s="200">
        <f t="shared" si="1225"/>
        <v>92.210771874444276</v>
      </c>
      <c r="Z67" s="200">
        <f t="shared" si="1225"/>
        <v>93.615487720486584</v>
      </c>
      <c r="AA67" s="200">
        <f t="shared" si="1225"/>
        <v>95.041602656548548</v>
      </c>
      <c r="AB67" s="200">
        <f t="shared" si="1225"/>
        <v>96.489442671017756</v>
      </c>
      <c r="AC67" s="200">
        <f t="shared" si="1225"/>
        <v>0</v>
      </c>
      <c r="AD67" s="200">
        <f t="shared" si="1225"/>
        <v>0</v>
      </c>
      <c r="AE67" s="200">
        <f t="shared" si="1225"/>
        <v>0</v>
      </c>
      <c r="AF67" s="200">
        <f t="shared" si="1225"/>
        <v>0</v>
      </c>
      <c r="AG67" s="200">
        <f t="shared" si="1225"/>
        <v>0</v>
      </c>
      <c r="AH67" s="200">
        <f t="shared" si="1225"/>
        <v>0</v>
      </c>
      <c r="AI67" s="200">
        <f t="shared" si="1225"/>
        <v>0</v>
      </c>
      <c r="AJ67" s="200">
        <f t="shared" si="1225"/>
        <v>0</v>
      </c>
      <c r="AK67" s="200">
        <f t="shared" si="1225"/>
        <v>0</v>
      </c>
      <c r="AL67" s="200">
        <f t="shared" si="1225"/>
        <v>0</v>
      </c>
      <c r="AM67" s="200">
        <f t="shared" si="1225"/>
        <v>0</v>
      </c>
      <c r="AN67" s="200">
        <f t="shared" si="1225"/>
        <v>0</v>
      </c>
      <c r="AO67" s="200">
        <f t="shared" si="1225"/>
        <v>0</v>
      </c>
      <c r="AP67" s="200">
        <f t="shared" si="1225"/>
        <v>0</v>
      </c>
      <c r="AQ67" s="200">
        <f t="shared" si="1225"/>
        <v>0</v>
      </c>
      <c r="AR67" s="200">
        <f t="shared" si="1225"/>
        <v>0</v>
      </c>
      <c r="AS67" s="200">
        <f t="shared" si="1225"/>
        <v>0</v>
      </c>
      <c r="AT67" s="200">
        <f t="shared" si="1225"/>
        <v>0</v>
      </c>
      <c r="AU67" s="200">
        <f t="shared" si="1225"/>
        <v>0</v>
      </c>
      <c r="AV67" s="200">
        <f t="shared" si="1225"/>
        <v>0</v>
      </c>
      <c r="AW67" s="200">
        <f t="shared" si="1225"/>
        <v>0</v>
      </c>
      <c r="AX67" s="200">
        <f t="shared" si="1225"/>
        <v>0</v>
      </c>
      <c r="AY67" s="200">
        <f t="shared" si="1225"/>
        <v>0</v>
      </c>
      <c r="AZ67" s="200">
        <f t="shared" si="1225"/>
        <v>0</v>
      </c>
      <c r="BA67" s="200">
        <f t="shared" si="1225"/>
        <v>0</v>
      </c>
      <c r="BB67" s="200">
        <f t="shared" si="1225"/>
        <v>0</v>
      </c>
      <c r="BC67" s="200">
        <f t="shared" si="1225"/>
        <v>0</v>
      </c>
      <c r="BD67" s="200">
        <f t="shared" si="1225"/>
        <v>0</v>
      </c>
      <c r="BE67" s="200">
        <f t="shared" si="1225"/>
        <v>0</v>
      </c>
      <c r="BF67" s="200">
        <f t="shared" si="1225"/>
        <v>0</v>
      </c>
      <c r="BG67" s="200">
        <f t="shared" si="1225"/>
        <v>0</v>
      </c>
      <c r="BH67" s="200">
        <f t="shared" si="1225"/>
        <v>0</v>
      </c>
      <c r="BI67" s="200">
        <f t="shared" si="1225"/>
        <v>0</v>
      </c>
      <c r="BJ67" s="200">
        <f t="shared" si="1225"/>
        <v>0</v>
      </c>
      <c r="BK67" s="200">
        <f t="shared" si="1225"/>
        <v>0</v>
      </c>
    </row>
    <row r="68" spans="1:63" ht="7.8" x14ac:dyDescent="0.15">
      <c r="A68" s="208" t="s">
        <v>203</v>
      </c>
      <c r="B68" s="192"/>
      <c r="C68" s="192"/>
      <c r="D68" s="192"/>
      <c r="E68" s="192"/>
      <c r="F68" s="192"/>
      <c r="G68" s="192"/>
      <c r="H68" s="192"/>
      <c r="I68" s="192"/>
      <c r="J68" s="224">
        <f>IF(J60-101&lt;&gt;LoanSaleHeld,0,SUM($D67:J67)*LoanSalePercent)</f>
        <v>0</v>
      </c>
      <c r="K68" s="225">
        <f>IF(K60-101&lt;&gt;LoanSaleHeld,0,SUM($D67:K67)*LoanSalePercent)</f>
        <v>0</v>
      </c>
      <c r="L68" s="225">
        <f>IF(L60-101&lt;&gt;LoanSaleHeld,0,SUM($D67:L67)*LoanSalePercent)</f>
        <v>0</v>
      </c>
      <c r="M68" s="225">
        <f>IF(M60-101&lt;&gt;LoanSaleHeld,0,SUM($D67:M67)*LoanSalePercent)</f>
        <v>200.52605044655485</v>
      </c>
      <c r="N68" s="225">
        <f>IF(N60-101&lt;&gt;LoanSaleHeld,0,SUM($D67:N67)*LoanSalePercent)</f>
        <v>0</v>
      </c>
      <c r="O68" s="225">
        <f>IF(O60-101&lt;&gt;LoanSaleHeld,0,SUM($D67:O67)*LoanSalePercent)</f>
        <v>0</v>
      </c>
      <c r="P68" s="225">
        <f>IF(P60-101&lt;&gt;LoanSaleHeld,0,SUM($D67:P67)*LoanSalePercent)</f>
        <v>0</v>
      </c>
      <c r="Q68" s="225">
        <f>IF(Q60-101&lt;&gt;LoanSaleHeld,0,SUM($D67:Q67)*LoanSalePercent)</f>
        <v>0</v>
      </c>
      <c r="R68" s="225">
        <f>IF(R60-101&lt;&gt;LoanSaleHeld,0,SUM($D67:R67)*LoanSalePercent)</f>
        <v>0</v>
      </c>
      <c r="S68" s="225">
        <f>IF(S60-101&lt;&gt;LoanSaleHeld,0,SUM($D67:S67)*LoanSalePercent)</f>
        <v>0</v>
      </c>
      <c r="T68" s="225">
        <f>IF(T60-101&lt;&gt;LoanSaleHeld,0,SUM($D67:T67)*LoanSalePercent)</f>
        <v>0</v>
      </c>
      <c r="U68" s="225">
        <f>IF(U60-101&lt;&gt;LoanSaleHeld,0,SUM($D67:U67)*LoanSalePercent)</f>
        <v>0</v>
      </c>
      <c r="V68" s="225">
        <f>IF(V60-101&lt;&gt;LoanSaleHeld,0,SUM($D67:V67)*LoanSalePercent)</f>
        <v>0</v>
      </c>
      <c r="W68" s="225">
        <f>IF(W60-101&lt;&gt;LoanSaleHeld,0,SUM($D67:W67)*LoanSalePercent)</f>
        <v>0</v>
      </c>
      <c r="X68" s="225">
        <f>IF(X60-101&lt;&gt;LoanSaleHeld,0,SUM($D67:X67)*LoanSalePercent)</f>
        <v>0</v>
      </c>
      <c r="Y68" s="225">
        <f>IF(Y60-101&lt;&gt;LoanSaleHeld,0,SUM($D67:Y67)*LoanSalePercent)</f>
        <v>0</v>
      </c>
      <c r="Z68" s="225">
        <f>IF(Z60-101&lt;&gt;LoanSaleHeld,0,SUM($D67:Z67)*LoanSalePercent)</f>
        <v>0</v>
      </c>
      <c r="AA68" s="225">
        <f>IF(AA60-101&lt;&gt;LoanSaleHeld,0,SUM($D67:AA67)*LoanSalePercent)</f>
        <v>0</v>
      </c>
      <c r="AB68" s="225">
        <f>IF(AB60-101&lt;&gt;LoanSaleHeld,0,SUM($D67:AB67)*LoanSalePercent)</f>
        <v>0</v>
      </c>
      <c r="AC68" s="225">
        <f>IF(AC60-101&lt;&gt;LoanSaleHeld,0,SUM($D67:AC67)*LoanSalePercent)</f>
        <v>0</v>
      </c>
      <c r="AD68" s="225">
        <f>IF(AD60-101&lt;&gt;LoanSaleHeld,0,SUM($D67:AD67)*LoanSalePercent)</f>
        <v>0</v>
      </c>
      <c r="AE68" s="225">
        <f>IF(AE60-101&lt;&gt;LoanSaleHeld,0,SUM($D67:AE67)*LoanSalePercent)</f>
        <v>0</v>
      </c>
      <c r="AF68" s="225">
        <f>IF(AF60-101&lt;&gt;LoanSaleHeld,0,SUM($D67:AF67)*LoanSalePercent)</f>
        <v>0</v>
      </c>
      <c r="AG68" s="225">
        <f>IF(AG60-101&lt;&gt;LoanSaleHeld,0,SUM($D67:AG67)*LoanSalePercent)</f>
        <v>0</v>
      </c>
      <c r="AH68" s="225">
        <f>IF(AH60-101&lt;&gt;LoanSaleHeld,0,SUM($D67:AH67)*LoanSalePercent)</f>
        <v>0</v>
      </c>
      <c r="AI68" s="225">
        <f>IF(AI60-101&lt;&gt;LoanSaleHeld,0,SUM($D67:AI67)*LoanSalePercent)</f>
        <v>0</v>
      </c>
      <c r="AJ68" s="225">
        <f>IF(AJ60-101&lt;&gt;LoanSaleHeld,0,SUM($D67:AJ67)*LoanSalePercent)</f>
        <v>0</v>
      </c>
      <c r="AK68" s="225">
        <f>IF(AK60-101&lt;&gt;LoanSaleHeld,0,SUM($D67:AK67)*LoanSalePercent)</f>
        <v>0</v>
      </c>
      <c r="AL68" s="225">
        <f>IF(AL60-101&lt;&gt;LoanSaleHeld,0,SUM($D67:AL67)*LoanSalePercent)</f>
        <v>0</v>
      </c>
      <c r="AM68" s="225">
        <f>IF(AM60-101&lt;&gt;LoanSaleHeld,0,SUM($D67:AM67)*LoanSalePercent)</f>
        <v>0</v>
      </c>
      <c r="AN68" s="225">
        <f>IF(AN60-101&lt;&gt;LoanSaleHeld,0,SUM($D67:AN67)*LoanSalePercent)</f>
        <v>0</v>
      </c>
      <c r="AO68" s="225">
        <f>IF(AO60-101&lt;&gt;LoanSaleHeld,0,SUM($D67:AO67)*LoanSalePercent)</f>
        <v>0</v>
      </c>
      <c r="AP68" s="225">
        <f>IF(AP60-101&lt;&gt;LoanSaleHeld,0,SUM($D67:AP67)*LoanSalePercent)</f>
        <v>0</v>
      </c>
      <c r="AQ68" s="225">
        <f>IF(AQ60-101&lt;&gt;LoanSaleHeld,0,SUM($D67:AQ67)*LoanSalePercent)</f>
        <v>0</v>
      </c>
      <c r="AR68" s="225">
        <f>IF(AR60-101&lt;&gt;LoanSaleHeld,0,SUM($D67:AR67)*LoanSalePercent)</f>
        <v>0</v>
      </c>
      <c r="AS68" s="225">
        <f>IF(AS60-101&lt;&gt;LoanSaleHeld,0,SUM($D67:AS67)*LoanSalePercent)</f>
        <v>0</v>
      </c>
      <c r="AT68" s="225">
        <f>IF(AT60-101&lt;&gt;LoanSaleHeld,0,SUM($D67:AT67)*LoanSalePercent)</f>
        <v>0</v>
      </c>
      <c r="AU68" s="225">
        <f>IF(AU60-101&lt;&gt;LoanSaleHeld,0,SUM($D67:AU67)*LoanSalePercent)</f>
        <v>0</v>
      </c>
      <c r="AV68" s="225">
        <f>IF(AV60-101&lt;&gt;LoanSaleHeld,0,SUM($D67:AV67)*LoanSalePercent)</f>
        <v>0</v>
      </c>
      <c r="AW68" s="225">
        <f>IF(AW60-101&lt;&gt;LoanSaleHeld,0,SUM($D67:AW67)*LoanSalePercent)</f>
        <v>0</v>
      </c>
      <c r="AX68" s="225">
        <f>IF(AX60-101&lt;&gt;LoanSaleHeld,0,SUM($D67:AX67)*LoanSalePercent)</f>
        <v>0</v>
      </c>
      <c r="AY68" s="225">
        <f>IF(AY60-101&lt;&gt;LoanSaleHeld,0,SUM($D67:AY67)*LoanSalePercent)</f>
        <v>0</v>
      </c>
      <c r="AZ68" s="225">
        <f>IF(AZ60-101&lt;&gt;LoanSaleHeld,0,SUM($D67:AZ67)*LoanSalePercent)</f>
        <v>0</v>
      </c>
      <c r="BA68" s="225">
        <f>IF(BA60-101&lt;&gt;LoanSaleHeld,0,SUM($D67:BA67)*LoanSalePercent)</f>
        <v>0</v>
      </c>
      <c r="BB68" s="225">
        <f>IF(BB60-101&lt;&gt;LoanSaleHeld,0,SUM($D67:BB67)*LoanSalePercent)</f>
        <v>0</v>
      </c>
      <c r="BC68" s="225">
        <f>IF(BC60-101&lt;&gt;LoanSaleHeld,0,SUM($D67:BC67)*LoanSalePercent)</f>
        <v>0</v>
      </c>
      <c r="BD68" s="225">
        <f>IF(BD60-101&lt;&gt;LoanSaleHeld,0,SUM($D67:BD67)*LoanSalePercent)</f>
        <v>0</v>
      </c>
      <c r="BE68" s="225">
        <f>IF(BE60-101&lt;&gt;LoanSaleHeld,0,SUM($D67:BE67)*LoanSalePercent)</f>
        <v>0</v>
      </c>
      <c r="BF68" s="225">
        <f>IF(BF60-101&lt;&gt;LoanSaleHeld,0,SUM($D67:BF67)*LoanSalePercent)</f>
        <v>0</v>
      </c>
      <c r="BG68" s="225">
        <f>IF(BG60-101&lt;&gt;LoanSaleHeld,0,SUM($D67:BG67)*LoanSalePercent)</f>
        <v>0</v>
      </c>
      <c r="BH68" s="225">
        <f>IF(BH60-101&lt;&gt;LoanSaleHeld,0,SUM($D67:BH67)*LoanSalePercent)</f>
        <v>0</v>
      </c>
      <c r="BI68" s="225">
        <f>IF(BI60-101&lt;&gt;LoanSaleHeld,0,SUM($D67:BI67)*LoanSalePercent)</f>
        <v>0</v>
      </c>
      <c r="BJ68" s="225">
        <f>IF(BJ60-101&lt;&gt;LoanSaleHeld,0,SUM($D67:BJ67)*LoanSalePercent)</f>
        <v>0</v>
      </c>
      <c r="BK68" s="225">
        <f>IF(BK60-101&lt;&gt;LoanSaleHeld,0,SUM($D67:BK67)*LoanSalePercent)</f>
        <v>0</v>
      </c>
    </row>
    <row r="69" spans="1:63" ht="7.8" x14ac:dyDescent="0.15">
      <c r="A69" s="204">
        <f t="shared" ref="A69" si="1226">A60+1</f>
        <v>8</v>
      </c>
      <c r="B69" s="192"/>
      <c r="C69" s="192"/>
      <c r="D69" s="192"/>
      <c r="E69" s="192"/>
      <c r="F69" s="192"/>
      <c r="G69" s="192"/>
      <c r="H69" s="192"/>
      <c r="I69" s="192"/>
      <c r="J69" s="192"/>
      <c r="K69" s="195">
        <v>101</v>
      </c>
      <c r="L69" s="196">
        <f t="shared" ref="L69" si="1227">IF(L70=0,0,K69+1)</f>
        <v>102</v>
      </c>
      <c r="M69" s="196">
        <f t="shared" ref="M69" si="1228">IF(M70=0,0,L69+1)</f>
        <v>103</v>
      </c>
      <c r="N69" s="196">
        <f t="shared" ref="N69" si="1229">IF(N70=0,0,M69+1)</f>
        <v>104</v>
      </c>
      <c r="O69" s="196">
        <f t="shared" ref="O69" si="1230">IF(O70=0,0,N69+1)</f>
        <v>105</v>
      </c>
      <c r="P69" s="196">
        <f t="shared" ref="P69" si="1231">IF(P70=0,0,O69+1)</f>
        <v>106</v>
      </c>
      <c r="Q69" s="196">
        <f t="shared" ref="Q69" si="1232">IF(Q70=0,0,P69+1)</f>
        <v>107</v>
      </c>
      <c r="R69" s="196">
        <f t="shared" ref="R69" si="1233">IF(R70=0,0,Q69+1)</f>
        <v>108</v>
      </c>
      <c r="S69" s="196">
        <f t="shared" ref="S69" si="1234">IF(S70=0,0,R69+1)</f>
        <v>109</v>
      </c>
      <c r="T69" s="196">
        <f t="shared" ref="T69" si="1235">IF(T70=0,0,S69+1)</f>
        <v>110</v>
      </c>
      <c r="U69" s="196">
        <f t="shared" ref="U69" si="1236">IF(U70=0,0,T69+1)</f>
        <v>111</v>
      </c>
      <c r="V69" s="196">
        <f t="shared" ref="V69" si="1237">IF(V70=0,0,U69+1)</f>
        <v>112</v>
      </c>
      <c r="W69" s="196">
        <f t="shared" ref="W69" si="1238">IF(W70=0,0,V69+1)</f>
        <v>113</v>
      </c>
      <c r="X69" s="196">
        <f t="shared" ref="X69" si="1239">IF(X70=0,0,W69+1)</f>
        <v>114</v>
      </c>
      <c r="Y69" s="196">
        <f t="shared" ref="Y69" si="1240">IF(Y70=0,0,X69+1)</f>
        <v>115</v>
      </c>
      <c r="Z69" s="196">
        <f t="shared" ref="Z69" si="1241">IF(Z70=0,0,Y69+1)</f>
        <v>116</v>
      </c>
      <c r="AA69" s="196">
        <f t="shared" ref="AA69" si="1242">IF(AA70=0,0,Z69+1)</f>
        <v>117</v>
      </c>
      <c r="AB69" s="196">
        <f t="shared" ref="AB69" si="1243">IF(AB70=0,0,AA69+1)</f>
        <v>118</v>
      </c>
      <c r="AC69" s="196">
        <f t="shared" ref="AC69" si="1244">IF(AC70=0,0,AB69+1)</f>
        <v>119</v>
      </c>
      <c r="AD69" s="196">
        <f t="shared" ref="AD69" si="1245">IF(AD70=0,0,AC69+1)</f>
        <v>0</v>
      </c>
      <c r="AE69" s="196">
        <f t="shared" ref="AE69" si="1246">IF(AE70=0,0,AD69+1)</f>
        <v>0</v>
      </c>
      <c r="AF69" s="196">
        <f t="shared" ref="AF69" si="1247">IF(AF70=0,0,AE69+1)</f>
        <v>0</v>
      </c>
      <c r="AG69" s="196">
        <f t="shared" ref="AG69" si="1248">IF(AG70=0,0,AF69+1)</f>
        <v>0</v>
      </c>
      <c r="AH69" s="196">
        <f t="shared" ref="AH69" si="1249">IF(AH70=0,0,AG69+1)</f>
        <v>0</v>
      </c>
      <c r="AI69" s="196">
        <f t="shared" ref="AI69" si="1250">IF(AI70=0,0,AH69+1)</f>
        <v>0</v>
      </c>
      <c r="AJ69" s="196">
        <f t="shared" ref="AJ69" si="1251">IF(AJ70=0,0,AI69+1)</f>
        <v>0</v>
      </c>
      <c r="AK69" s="196">
        <f t="shared" ref="AK69" si="1252">IF(AK70=0,0,AJ69+1)</f>
        <v>0</v>
      </c>
      <c r="AL69" s="196">
        <f t="shared" ref="AL69" si="1253">IF(AL70=0,0,AK69+1)</f>
        <v>0</v>
      </c>
      <c r="AM69" s="196">
        <f t="shared" ref="AM69" si="1254">IF(AM70=0,0,AL69+1)</f>
        <v>0</v>
      </c>
      <c r="AN69" s="196">
        <f t="shared" ref="AN69" si="1255">IF(AN70=0,0,AM69+1)</f>
        <v>0</v>
      </c>
      <c r="AO69" s="196">
        <f t="shared" ref="AO69" si="1256">IF(AO70=0,0,AN69+1)</f>
        <v>0</v>
      </c>
      <c r="AP69" s="196">
        <f t="shared" ref="AP69" si="1257">IF(AP70=0,0,AO69+1)</f>
        <v>0</v>
      </c>
      <c r="AQ69" s="196">
        <f t="shared" ref="AQ69" si="1258">IF(AQ70=0,0,AP69+1)</f>
        <v>0</v>
      </c>
      <c r="AR69" s="196">
        <f t="shared" ref="AR69" si="1259">IF(AR70=0,0,AQ69+1)</f>
        <v>0</v>
      </c>
      <c r="AS69" s="196">
        <f t="shared" ref="AS69" si="1260">IF(AS70=0,0,AR69+1)</f>
        <v>0</v>
      </c>
      <c r="AT69" s="196">
        <f t="shared" ref="AT69" si="1261">IF(AT70=0,0,AS69+1)</f>
        <v>0</v>
      </c>
      <c r="AU69" s="196">
        <f t="shared" ref="AU69" si="1262">IF(AU70=0,0,AT69+1)</f>
        <v>0</v>
      </c>
      <c r="AV69" s="196">
        <f t="shared" ref="AV69" si="1263">IF(AV70=0,0,AU69+1)</f>
        <v>0</v>
      </c>
      <c r="AW69" s="196">
        <f t="shared" ref="AW69" si="1264">IF(AW70=0,0,AV69+1)</f>
        <v>0</v>
      </c>
      <c r="AX69" s="196">
        <f t="shared" ref="AX69" si="1265">IF(AX70=0,0,AW69+1)</f>
        <v>0</v>
      </c>
      <c r="AY69" s="196">
        <f t="shared" ref="AY69" si="1266">IF(AY70=0,0,AX69+1)</f>
        <v>0</v>
      </c>
      <c r="AZ69" s="196">
        <f t="shared" ref="AZ69" si="1267">IF(AZ70=0,0,AY69+1)</f>
        <v>0</v>
      </c>
      <c r="BA69" s="196">
        <f t="shared" ref="BA69" si="1268">IF(BA70=0,0,AZ69+1)</f>
        <v>0</v>
      </c>
      <c r="BB69" s="196">
        <f t="shared" ref="BB69" si="1269">IF(BB70=0,0,BA69+1)</f>
        <v>0</v>
      </c>
      <c r="BC69" s="196">
        <f t="shared" ref="BC69" si="1270">IF(BC70=0,0,BB69+1)</f>
        <v>0</v>
      </c>
      <c r="BD69" s="196">
        <f t="shared" ref="BD69" si="1271">IF(BD70=0,0,BC69+1)</f>
        <v>0</v>
      </c>
      <c r="BE69" s="196">
        <f t="shared" ref="BE69" si="1272">IF(BE70=0,0,BD69+1)</f>
        <v>0</v>
      </c>
      <c r="BF69" s="196">
        <f t="shared" ref="BF69" si="1273">IF(BF70=0,0,BE69+1)</f>
        <v>0</v>
      </c>
      <c r="BG69" s="196">
        <f t="shared" ref="BG69" si="1274">IF(BG70=0,0,BF69+1)</f>
        <v>0</v>
      </c>
      <c r="BH69" s="196">
        <f t="shared" ref="BH69" si="1275">IF(BH70=0,0,BG69+1)</f>
        <v>0</v>
      </c>
      <c r="BI69" s="196">
        <f t="shared" ref="BI69" si="1276">IF(BI70=0,0,BH69+1)</f>
        <v>0</v>
      </c>
      <c r="BJ69" s="196">
        <f t="shared" ref="BJ69" si="1277">IF(BJ70=0,0,BI69+1)</f>
        <v>0</v>
      </c>
      <c r="BK69" s="196">
        <f t="shared" ref="BK69" si="1278">IF(BK70=0,0,BJ69+1)</f>
        <v>0</v>
      </c>
    </row>
    <row r="70" spans="1:63" ht="7.8" x14ac:dyDescent="0.15">
      <c r="A70" s="216" t="s">
        <v>178</v>
      </c>
      <c r="B70" s="192"/>
      <c r="C70" s="192"/>
      <c r="D70" s="192"/>
      <c r="E70" s="192"/>
      <c r="F70" s="192"/>
      <c r="G70" s="192"/>
      <c r="H70" s="192"/>
      <c r="I70" s="192"/>
      <c r="J70" s="192"/>
      <c r="K70" s="217">
        <f>LoanSize</f>
        <v>25</v>
      </c>
      <c r="L70" s="215">
        <f>IF(K70-K73&lt;=0.1,0,K70-K73)</f>
        <v>23.811105455869676</v>
      </c>
      <c r="M70" s="215">
        <f t="shared" ref="M70:BK70" si="1279">IF(L70-L73&lt;=0.1,0,L70-L73)</f>
        <v>22.602891375397235</v>
      </c>
      <c r="N70" s="215">
        <f t="shared" si="1279"/>
        <v>21.375043816117113</v>
      </c>
      <c r="O70" s="215">
        <f t="shared" si="1279"/>
        <v>20.127243733998689</v>
      </c>
      <c r="P70" s="215">
        <f t="shared" si="1279"/>
        <v>18.859166900545844</v>
      </c>
      <c r="Q70" s="215">
        <f t="shared" si="1279"/>
        <v>17.570483818549388</v>
      </c>
      <c r="R70" s="215">
        <f t="shared" si="1279"/>
        <v>16.260859636470489</v>
      </c>
      <c r="S70" s="215">
        <f t="shared" si="1279"/>
        <v>14.929954061432809</v>
      </c>
      <c r="T70" s="215">
        <f t="shared" si="1279"/>
        <v>13.577421270800768</v>
      </c>
      <c r="U70" s="215">
        <f t="shared" si="1279"/>
        <v>12.202909822320954</v>
      </c>
      <c r="V70" s="215">
        <f t="shared" si="1279"/>
        <v>10.806062562803344</v>
      </c>
      <c r="W70" s="215">
        <f t="shared" si="1279"/>
        <v>9.3865165353185738</v>
      </c>
      <c r="X70" s="215">
        <f t="shared" si="1279"/>
        <v>7.9439028848871756</v>
      </c>
      <c r="Y70" s="215">
        <f t="shared" si="1279"/>
        <v>6.4778467626362666</v>
      </c>
      <c r="Z70" s="215">
        <f t="shared" si="1279"/>
        <v>4.987967228398781</v>
      </c>
      <c r="AA70" s="215">
        <f t="shared" si="1279"/>
        <v>3.4738771517299361</v>
      </c>
      <c r="AB70" s="215">
        <f t="shared" si="1279"/>
        <v>1.9351831113152225</v>
      </c>
      <c r="AC70" s="215">
        <f t="shared" si="1279"/>
        <v>0.37148529274376973</v>
      </c>
      <c r="AD70" s="215">
        <f t="shared" si="1279"/>
        <v>0</v>
      </c>
      <c r="AE70" s="215">
        <f t="shared" si="1279"/>
        <v>0</v>
      </c>
      <c r="AF70" s="215">
        <f t="shared" si="1279"/>
        <v>0</v>
      </c>
      <c r="AG70" s="215">
        <f t="shared" si="1279"/>
        <v>0</v>
      </c>
      <c r="AH70" s="215">
        <f t="shared" si="1279"/>
        <v>0</v>
      </c>
      <c r="AI70" s="215">
        <f t="shared" si="1279"/>
        <v>0</v>
      </c>
      <c r="AJ70" s="215">
        <f t="shared" si="1279"/>
        <v>0</v>
      </c>
      <c r="AK70" s="215">
        <f t="shared" si="1279"/>
        <v>0</v>
      </c>
      <c r="AL70" s="215">
        <f t="shared" si="1279"/>
        <v>0</v>
      </c>
      <c r="AM70" s="215">
        <f t="shared" si="1279"/>
        <v>0</v>
      </c>
      <c r="AN70" s="215">
        <f t="shared" si="1279"/>
        <v>0</v>
      </c>
      <c r="AO70" s="215">
        <f t="shared" si="1279"/>
        <v>0</v>
      </c>
      <c r="AP70" s="215">
        <f t="shared" si="1279"/>
        <v>0</v>
      </c>
      <c r="AQ70" s="215">
        <f t="shared" si="1279"/>
        <v>0</v>
      </c>
      <c r="AR70" s="215">
        <f t="shared" si="1279"/>
        <v>0</v>
      </c>
      <c r="AS70" s="215">
        <f t="shared" si="1279"/>
        <v>0</v>
      </c>
      <c r="AT70" s="215">
        <f t="shared" si="1279"/>
        <v>0</v>
      </c>
      <c r="AU70" s="215">
        <f t="shared" si="1279"/>
        <v>0</v>
      </c>
      <c r="AV70" s="215">
        <f t="shared" si="1279"/>
        <v>0</v>
      </c>
      <c r="AW70" s="215">
        <f t="shared" si="1279"/>
        <v>0</v>
      </c>
      <c r="AX70" s="215">
        <f t="shared" si="1279"/>
        <v>0</v>
      </c>
      <c r="AY70" s="215">
        <f t="shared" si="1279"/>
        <v>0</v>
      </c>
      <c r="AZ70" s="215">
        <f t="shared" si="1279"/>
        <v>0</v>
      </c>
      <c r="BA70" s="215">
        <f t="shared" si="1279"/>
        <v>0</v>
      </c>
      <c r="BB70" s="215">
        <f t="shared" si="1279"/>
        <v>0</v>
      </c>
      <c r="BC70" s="215">
        <f t="shared" si="1279"/>
        <v>0</v>
      </c>
      <c r="BD70" s="215">
        <f t="shared" si="1279"/>
        <v>0</v>
      </c>
      <c r="BE70" s="215">
        <f t="shared" si="1279"/>
        <v>0</v>
      </c>
      <c r="BF70" s="215">
        <f t="shared" si="1279"/>
        <v>0</v>
      </c>
      <c r="BG70" s="215">
        <f t="shared" si="1279"/>
        <v>0</v>
      </c>
      <c r="BH70" s="215">
        <f t="shared" si="1279"/>
        <v>0</v>
      </c>
      <c r="BI70" s="215">
        <f t="shared" si="1279"/>
        <v>0</v>
      </c>
      <c r="BJ70" s="215">
        <f t="shared" si="1279"/>
        <v>0</v>
      </c>
      <c r="BK70" s="215">
        <f t="shared" si="1279"/>
        <v>0</v>
      </c>
    </row>
    <row r="71" spans="1:63" ht="7.8" x14ac:dyDescent="0.15">
      <c r="A71" s="218" t="s">
        <v>179</v>
      </c>
      <c r="B71" s="192"/>
      <c r="C71" s="192"/>
      <c r="D71" s="192"/>
      <c r="E71" s="192"/>
      <c r="F71" s="192"/>
      <c r="G71" s="192"/>
      <c r="H71" s="192"/>
      <c r="I71" s="192"/>
      <c r="J71" s="192"/>
      <c r="K71" s="219">
        <f>IF(K70=0,0,PMT(INDEX(LoanCohortRate,1),LoanTerm, -LoanSize))</f>
        <v>1.5951445441303251</v>
      </c>
      <c r="L71" s="222">
        <f t="shared" ref="L71" si="1280">IF(L70=0,0, K71)</f>
        <v>1.5951445441303251</v>
      </c>
      <c r="M71" s="222">
        <f t="shared" ref="M71" si="1281">IF(M70=0,0, L71)</f>
        <v>1.5951445441303251</v>
      </c>
      <c r="N71" s="222">
        <f t="shared" ref="N71" si="1282">IF(N70=0,0, M71)</f>
        <v>1.5951445441303251</v>
      </c>
      <c r="O71" s="222">
        <f t="shared" ref="O71" si="1283">IF(O70=0,0, N71)</f>
        <v>1.5951445441303251</v>
      </c>
      <c r="P71" s="222">
        <f t="shared" ref="P71" si="1284">IF(P70=0,0, O71)</f>
        <v>1.5951445441303251</v>
      </c>
      <c r="Q71" s="222">
        <f t="shared" ref="Q71" si="1285">IF(Q70=0,0, P71)</f>
        <v>1.5951445441303251</v>
      </c>
      <c r="R71" s="222">
        <f t="shared" ref="R71" si="1286">IF(R70=0,0, Q71)</f>
        <v>1.5951445441303251</v>
      </c>
      <c r="S71" s="222">
        <f t="shared" ref="S71" si="1287">IF(S70=0,0, R71)</f>
        <v>1.5951445441303251</v>
      </c>
      <c r="T71" s="222">
        <f t="shared" ref="T71" si="1288">IF(T70=0,0, S71)</f>
        <v>1.5951445441303251</v>
      </c>
      <c r="U71" s="222">
        <f t="shared" ref="U71" si="1289">IF(U70=0,0, T71)</f>
        <v>1.5951445441303251</v>
      </c>
      <c r="V71" s="222">
        <f t="shared" ref="V71" si="1290">IF(V70=0,0, U71)</f>
        <v>1.5951445441303251</v>
      </c>
      <c r="W71" s="222">
        <f t="shared" ref="W71" si="1291">IF(W70=0,0, V71)</f>
        <v>1.5951445441303251</v>
      </c>
      <c r="X71" s="222">
        <f t="shared" ref="X71" si="1292">IF(X70=0,0, W71)</f>
        <v>1.5951445441303251</v>
      </c>
      <c r="Y71" s="222">
        <f t="shared" ref="Y71" si="1293">IF(Y70=0,0, X71)</f>
        <v>1.5951445441303251</v>
      </c>
      <c r="Z71" s="222">
        <f t="shared" ref="Z71" si="1294">IF(Z70=0,0, Y71)</f>
        <v>1.5951445441303251</v>
      </c>
      <c r="AA71" s="222">
        <f t="shared" ref="AA71" si="1295">IF(AA70=0,0, Z71)</f>
        <v>1.5951445441303251</v>
      </c>
      <c r="AB71" s="222">
        <f t="shared" ref="AB71" si="1296">IF(AB70=0,0, AA71)</f>
        <v>1.5951445441303251</v>
      </c>
      <c r="AC71" s="222">
        <f t="shared" ref="AC71" si="1297">IF(AC70=0,0, AB71)</f>
        <v>1.5951445441303251</v>
      </c>
      <c r="AD71" s="222">
        <f t="shared" ref="AD71" si="1298">IF(AD70=0,0, AC71)</f>
        <v>0</v>
      </c>
      <c r="AE71" s="222">
        <f t="shared" ref="AE71" si="1299">IF(AE70=0,0, AD71)</f>
        <v>0</v>
      </c>
      <c r="AF71" s="222">
        <f t="shared" ref="AF71" si="1300">IF(AF70=0,0, AE71)</f>
        <v>0</v>
      </c>
      <c r="AG71" s="222">
        <f t="shared" ref="AG71" si="1301">IF(AG70=0,0, AF71)</f>
        <v>0</v>
      </c>
      <c r="AH71" s="222">
        <f t="shared" ref="AH71" si="1302">IF(AH70=0,0, AG71)</f>
        <v>0</v>
      </c>
      <c r="AI71" s="222">
        <f t="shared" ref="AI71" si="1303">IF(AI70=0,0, AH71)</f>
        <v>0</v>
      </c>
      <c r="AJ71" s="222">
        <f t="shared" ref="AJ71" si="1304">IF(AJ70=0,0, AI71)</f>
        <v>0</v>
      </c>
      <c r="AK71" s="222">
        <f t="shared" ref="AK71" si="1305">IF(AK70=0,0, AJ71)</f>
        <v>0</v>
      </c>
      <c r="AL71" s="222">
        <f t="shared" ref="AL71" si="1306">IF(AL70=0,0, AK71)</f>
        <v>0</v>
      </c>
      <c r="AM71" s="222">
        <f t="shared" ref="AM71" si="1307">IF(AM70=0,0, AL71)</f>
        <v>0</v>
      </c>
      <c r="AN71" s="222">
        <f t="shared" ref="AN71" si="1308">IF(AN70=0,0, AM71)</f>
        <v>0</v>
      </c>
      <c r="AO71" s="222">
        <f t="shared" ref="AO71" si="1309">IF(AO70=0,0, AN71)</f>
        <v>0</v>
      </c>
      <c r="AP71" s="222">
        <f t="shared" ref="AP71" si="1310">IF(AP70=0,0, AO71)</f>
        <v>0</v>
      </c>
      <c r="AQ71" s="222">
        <f t="shared" ref="AQ71" si="1311">IF(AQ70=0,0, AP71)</f>
        <v>0</v>
      </c>
      <c r="AR71" s="222">
        <f t="shared" ref="AR71" si="1312">IF(AR70=0,0, AQ71)</f>
        <v>0</v>
      </c>
      <c r="AS71" s="222">
        <f t="shared" ref="AS71" si="1313">IF(AS70=0,0, AR71)</f>
        <v>0</v>
      </c>
      <c r="AT71" s="222">
        <f t="shared" ref="AT71" si="1314">IF(AT70=0,0, AS71)</f>
        <v>0</v>
      </c>
      <c r="AU71" s="222">
        <f t="shared" ref="AU71" si="1315">IF(AU70=0,0, AT71)</f>
        <v>0</v>
      </c>
      <c r="AV71" s="222">
        <f t="shared" ref="AV71" si="1316">IF(AV70=0,0, AU71)</f>
        <v>0</v>
      </c>
      <c r="AW71" s="222">
        <f t="shared" ref="AW71" si="1317">IF(AW70=0,0, AV71)</f>
        <v>0</v>
      </c>
      <c r="AX71" s="222">
        <f t="shared" ref="AX71" si="1318">IF(AX70=0,0, AW71)</f>
        <v>0</v>
      </c>
      <c r="AY71" s="222">
        <f t="shared" ref="AY71" si="1319">IF(AY70=0,0, AX71)</f>
        <v>0</v>
      </c>
      <c r="AZ71" s="222">
        <f t="shared" ref="AZ71" si="1320">IF(AZ70=0,0, AY71)</f>
        <v>0</v>
      </c>
      <c r="BA71" s="222">
        <f t="shared" ref="BA71" si="1321">IF(BA70=0,0, AZ71)</f>
        <v>0</v>
      </c>
      <c r="BB71" s="222">
        <f t="shared" ref="BB71" si="1322">IF(BB70=0,0, BA71)</f>
        <v>0</v>
      </c>
      <c r="BC71" s="222">
        <f t="shared" ref="BC71" si="1323">IF(BC70=0,0, BB71)</f>
        <v>0</v>
      </c>
      <c r="BD71" s="222">
        <f t="shared" ref="BD71" si="1324">IF(BD70=0,0, BC71)</f>
        <v>0</v>
      </c>
      <c r="BE71" s="222">
        <f t="shared" ref="BE71" si="1325">IF(BE70=0,0, BD71)</f>
        <v>0</v>
      </c>
      <c r="BF71" s="222">
        <f t="shared" ref="BF71" si="1326">IF(BF70=0,0, BE71)</f>
        <v>0</v>
      </c>
      <c r="BG71" s="222">
        <f t="shared" ref="BG71" si="1327">IF(BG70=0,0, BF71)</f>
        <v>0</v>
      </c>
      <c r="BH71" s="222">
        <f t="shared" ref="BH71" si="1328">IF(BH70=0,0, BG71)</f>
        <v>0</v>
      </c>
      <c r="BI71" s="222">
        <f t="shared" ref="BI71" si="1329">IF(BI70=0,0, BH71)</f>
        <v>0</v>
      </c>
      <c r="BJ71" s="222">
        <f t="shared" ref="BJ71" si="1330">IF(BJ70=0,0, BI71)</f>
        <v>0</v>
      </c>
      <c r="BK71" s="222">
        <f t="shared" ref="BK71" si="1331">IF(BK70=0,0, BJ71)</f>
        <v>0</v>
      </c>
    </row>
    <row r="72" spans="1:63" ht="7.8" x14ac:dyDescent="0.15">
      <c r="A72" s="218" t="s">
        <v>180</v>
      </c>
      <c r="B72" s="192"/>
      <c r="C72" s="192"/>
      <c r="D72" s="192"/>
      <c r="E72" s="192"/>
      <c r="F72" s="192"/>
      <c r="G72" s="192"/>
      <c r="H72" s="192"/>
      <c r="I72" s="192"/>
      <c r="J72" s="192"/>
      <c r="K72" s="220" cm="1">
        <f t="array" ref="K72">K70*INDEX(LoanCohortRate,$A69)</f>
        <v>0.40625</v>
      </c>
      <c r="L72" s="221" cm="1">
        <f t="array" ref="L72">L70*INDEX(LoanCohortRate,$A69)</f>
        <v>0.38693046365788225</v>
      </c>
      <c r="M72" s="221" cm="1">
        <f t="array" ref="M72">M70*INDEX(LoanCohortRate,$A69)</f>
        <v>0.36729698485020507</v>
      </c>
      <c r="N72" s="221" cm="1">
        <f t="array" ref="N72">N70*INDEX(LoanCohortRate,$A69)</f>
        <v>0.34734446201190311</v>
      </c>
      <c r="O72" s="221" cm="1">
        <f t="array" ref="O72">O70*INDEX(LoanCohortRate,$A69)</f>
        <v>0.3270677106774787</v>
      </c>
      <c r="P72" s="221" cm="1">
        <f t="array" ref="P72">P70*INDEX(LoanCohortRate,$A69)</f>
        <v>0.30646146213386999</v>
      </c>
      <c r="Q72" s="221" cm="1">
        <f t="array" ref="Q72">Q70*INDEX(LoanCohortRate,$A69)</f>
        <v>0.28552036205142756</v>
      </c>
      <c r="R72" s="221" cm="1">
        <f t="array" ref="R72">R70*INDEX(LoanCohortRate,$A69)</f>
        <v>0.26423896909264544</v>
      </c>
      <c r="S72" s="221" cm="1">
        <f t="array" ref="S72">S70*INDEX(LoanCohortRate,$A69)</f>
        <v>0.24261175349828315</v>
      </c>
      <c r="T72" s="221" cm="1">
        <f t="array" ref="T72">T70*INDEX(LoanCohortRate,$A69)</f>
        <v>0.22063309565051248</v>
      </c>
      <c r="U72" s="221" cm="1">
        <f t="array" ref="U72">U70*INDEX(LoanCohortRate,$A69)</f>
        <v>0.19829728461271551</v>
      </c>
      <c r="V72" s="221" cm="1">
        <f t="array" ref="V72">V70*INDEX(LoanCohortRate,$A69)</f>
        <v>0.17559851664555434</v>
      </c>
      <c r="W72" s="221" cm="1">
        <f t="array" ref="W72">W70*INDEX(LoanCohortRate,$A69)</f>
        <v>0.15253089369892683</v>
      </c>
      <c r="X72" s="221" cm="1">
        <f t="array" ref="X72">X70*INDEX(LoanCohortRate,$A69)</f>
        <v>0.1290884218794166</v>
      </c>
      <c r="Y72" s="221" cm="1">
        <f t="array" ref="Y72">Y70*INDEX(LoanCohortRate,$A69)</f>
        <v>0.10526500989283934</v>
      </c>
      <c r="Z72" s="221" cm="1">
        <f t="array" ref="Z72">Z70*INDEX(LoanCohortRate,$A69)</f>
        <v>8.1054467461480192E-2</v>
      </c>
      <c r="AA72" s="221" cm="1">
        <f t="array" ref="AA72">AA70*INDEX(LoanCohortRate,$A69)</f>
        <v>5.6450503715611465E-2</v>
      </c>
      <c r="AB72" s="221" cm="1">
        <f t="array" ref="AB72">AB70*INDEX(LoanCohortRate,$A69)</f>
        <v>3.1446725558872367E-2</v>
      </c>
      <c r="AC72" s="221" cm="1">
        <f t="array" ref="AC72">AC70*INDEX(LoanCohortRate,$A69)</f>
        <v>6.0366360070862584E-3</v>
      </c>
      <c r="AD72" s="221" cm="1">
        <f t="array" ref="AD72">AD70*INDEX(LoanCohortRate,$A69)</f>
        <v>0</v>
      </c>
      <c r="AE72" s="221" cm="1">
        <f t="array" ref="AE72">AE70*INDEX(LoanCohortRate,$A69)</f>
        <v>0</v>
      </c>
      <c r="AF72" s="221" cm="1">
        <f t="array" ref="AF72">AF70*INDEX(LoanCohortRate,$A69)</f>
        <v>0</v>
      </c>
      <c r="AG72" s="221" cm="1">
        <f t="array" ref="AG72">AG70*INDEX(LoanCohortRate,$A69)</f>
        <v>0</v>
      </c>
      <c r="AH72" s="221" cm="1">
        <f t="array" ref="AH72">AH70*INDEX(LoanCohortRate,$A69)</f>
        <v>0</v>
      </c>
      <c r="AI72" s="221" cm="1">
        <f t="array" ref="AI72">AI70*INDEX(LoanCohortRate,$A69)</f>
        <v>0</v>
      </c>
      <c r="AJ72" s="221" cm="1">
        <f t="array" ref="AJ72">AJ70*INDEX(LoanCohortRate,$A69)</f>
        <v>0</v>
      </c>
      <c r="AK72" s="221" cm="1">
        <f t="array" ref="AK72">AK70*INDEX(LoanCohortRate,$A69)</f>
        <v>0</v>
      </c>
      <c r="AL72" s="221" cm="1">
        <f t="array" ref="AL72">AL70*INDEX(LoanCohortRate,$A69)</f>
        <v>0</v>
      </c>
      <c r="AM72" s="221" cm="1">
        <f t="array" ref="AM72">AM70*INDEX(LoanCohortRate,$A69)</f>
        <v>0</v>
      </c>
      <c r="AN72" s="221" cm="1">
        <f t="array" ref="AN72">AN70*INDEX(LoanCohortRate,$A69)</f>
        <v>0</v>
      </c>
      <c r="AO72" s="221" cm="1">
        <f t="array" ref="AO72">AO70*INDEX(LoanCohortRate,$A69)</f>
        <v>0</v>
      </c>
      <c r="AP72" s="221" cm="1">
        <f t="array" ref="AP72">AP70*INDEX(LoanCohortRate,$A69)</f>
        <v>0</v>
      </c>
      <c r="AQ72" s="221" cm="1">
        <f t="array" ref="AQ72">AQ70*INDEX(LoanCohortRate,$A69)</f>
        <v>0</v>
      </c>
      <c r="AR72" s="221" cm="1">
        <f t="array" ref="AR72">AR70*INDEX(LoanCohortRate,$A69)</f>
        <v>0</v>
      </c>
      <c r="AS72" s="221" cm="1">
        <f t="array" ref="AS72">AS70*INDEX(LoanCohortRate,$A69)</f>
        <v>0</v>
      </c>
      <c r="AT72" s="221" cm="1">
        <f t="array" ref="AT72">AT70*INDEX(LoanCohortRate,$A69)</f>
        <v>0</v>
      </c>
      <c r="AU72" s="221" cm="1">
        <f t="array" ref="AU72">AU70*INDEX(LoanCohortRate,$A69)</f>
        <v>0</v>
      </c>
      <c r="AV72" s="221" cm="1">
        <f t="array" ref="AV72">AV70*INDEX(LoanCohortRate,$A69)</f>
        <v>0</v>
      </c>
      <c r="AW72" s="221" cm="1">
        <f t="array" ref="AW72">AW70*INDEX(LoanCohortRate,$A69)</f>
        <v>0</v>
      </c>
      <c r="AX72" s="221" cm="1">
        <f t="array" ref="AX72">AX70*INDEX(LoanCohortRate,$A69)</f>
        <v>0</v>
      </c>
      <c r="AY72" s="221" cm="1">
        <f t="array" ref="AY72">AY70*INDEX(LoanCohortRate,$A69)</f>
        <v>0</v>
      </c>
      <c r="AZ72" s="221" cm="1">
        <f t="array" ref="AZ72">AZ70*INDEX(LoanCohortRate,$A69)</f>
        <v>0</v>
      </c>
      <c r="BA72" s="221" cm="1">
        <f t="array" ref="BA72">BA70*INDEX(LoanCohortRate,$A69)</f>
        <v>0</v>
      </c>
      <c r="BB72" s="221" cm="1">
        <f t="array" ref="BB72">BB70*INDEX(LoanCohortRate,$A69)</f>
        <v>0</v>
      </c>
      <c r="BC72" s="221" cm="1">
        <f t="array" ref="BC72">BC70*INDEX(LoanCohortRate,$A69)</f>
        <v>0</v>
      </c>
      <c r="BD72" s="221" cm="1">
        <f t="array" ref="BD72">BD70*INDEX(LoanCohortRate,$A69)</f>
        <v>0</v>
      </c>
      <c r="BE72" s="221" cm="1">
        <f t="array" ref="BE72">BE70*INDEX(LoanCohortRate,$A69)</f>
        <v>0</v>
      </c>
      <c r="BF72" s="221" cm="1">
        <f t="array" ref="BF72">BF70*INDEX(LoanCohortRate,$A69)</f>
        <v>0</v>
      </c>
      <c r="BG72" s="221" cm="1">
        <f t="array" ref="BG72">BG70*INDEX(LoanCohortRate,$A69)</f>
        <v>0</v>
      </c>
      <c r="BH72" s="221" cm="1">
        <f t="array" ref="BH72">BH70*INDEX(LoanCohortRate,$A69)</f>
        <v>0</v>
      </c>
      <c r="BI72" s="221" cm="1">
        <f t="array" ref="BI72">BI70*INDEX(LoanCohortRate,$A69)</f>
        <v>0</v>
      </c>
      <c r="BJ72" s="221" cm="1">
        <f t="array" ref="BJ72">BJ70*INDEX(LoanCohortRate,$A69)</f>
        <v>0</v>
      </c>
      <c r="BK72" s="221" cm="1">
        <f t="array" ref="BK72">BK70*INDEX(LoanCohortRate,$A69)</f>
        <v>0</v>
      </c>
    </row>
    <row r="73" spans="1:63" ht="7.8" x14ac:dyDescent="0.15">
      <c r="A73" s="218" t="s">
        <v>177</v>
      </c>
      <c r="B73" s="192"/>
      <c r="C73" s="192"/>
      <c r="D73" s="192"/>
      <c r="E73" s="192"/>
      <c r="F73" s="192"/>
      <c r="G73" s="192"/>
      <c r="H73" s="192"/>
      <c r="I73" s="192"/>
      <c r="J73" s="192"/>
      <c r="K73" s="219">
        <f>K71-K72</f>
        <v>1.1888945441303251</v>
      </c>
      <c r="L73" s="222">
        <f t="shared" ref="L73:BK73" si="1332">L71-L72</f>
        <v>1.2082140804724428</v>
      </c>
      <c r="M73" s="222">
        <f t="shared" si="1332"/>
        <v>1.2278475592801201</v>
      </c>
      <c r="N73" s="222">
        <f t="shared" si="1332"/>
        <v>1.2478000821184221</v>
      </c>
      <c r="O73" s="222">
        <f t="shared" si="1332"/>
        <v>1.2680768334528465</v>
      </c>
      <c r="P73" s="222">
        <f t="shared" si="1332"/>
        <v>1.2886830819964552</v>
      </c>
      <c r="Q73" s="222">
        <f t="shared" si="1332"/>
        <v>1.3096241820788976</v>
      </c>
      <c r="R73" s="222">
        <f t="shared" si="1332"/>
        <v>1.3309055750376797</v>
      </c>
      <c r="S73" s="222">
        <f t="shared" si="1332"/>
        <v>1.3525327906320419</v>
      </c>
      <c r="T73" s="222">
        <f t="shared" si="1332"/>
        <v>1.3745114484798127</v>
      </c>
      <c r="U73" s="222">
        <f t="shared" si="1332"/>
        <v>1.3968472595176096</v>
      </c>
      <c r="V73" s="222">
        <f t="shared" si="1332"/>
        <v>1.4195460274847709</v>
      </c>
      <c r="W73" s="222">
        <f t="shared" si="1332"/>
        <v>1.4426136504313982</v>
      </c>
      <c r="X73" s="222">
        <f t="shared" si="1332"/>
        <v>1.4660561222509085</v>
      </c>
      <c r="Y73" s="222">
        <f t="shared" si="1332"/>
        <v>1.4898795342374858</v>
      </c>
      <c r="Z73" s="222">
        <f t="shared" si="1332"/>
        <v>1.514090076668845</v>
      </c>
      <c r="AA73" s="222">
        <f t="shared" si="1332"/>
        <v>1.5386940404147136</v>
      </c>
      <c r="AB73" s="222">
        <f t="shared" si="1332"/>
        <v>1.5636978185714527</v>
      </c>
      <c r="AC73" s="222">
        <f t="shared" si="1332"/>
        <v>1.5891079081232389</v>
      </c>
      <c r="AD73" s="222">
        <f t="shared" si="1332"/>
        <v>0</v>
      </c>
      <c r="AE73" s="222">
        <f t="shared" si="1332"/>
        <v>0</v>
      </c>
      <c r="AF73" s="222">
        <f t="shared" si="1332"/>
        <v>0</v>
      </c>
      <c r="AG73" s="222">
        <f t="shared" si="1332"/>
        <v>0</v>
      </c>
      <c r="AH73" s="222">
        <f t="shared" si="1332"/>
        <v>0</v>
      </c>
      <c r="AI73" s="222">
        <f t="shared" si="1332"/>
        <v>0</v>
      </c>
      <c r="AJ73" s="222">
        <f t="shared" si="1332"/>
        <v>0</v>
      </c>
      <c r="AK73" s="222">
        <f t="shared" si="1332"/>
        <v>0</v>
      </c>
      <c r="AL73" s="222">
        <f t="shared" si="1332"/>
        <v>0</v>
      </c>
      <c r="AM73" s="222">
        <f t="shared" si="1332"/>
        <v>0</v>
      </c>
      <c r="AN73" s="222">
        <f t="shared" si="1332"/>
        <v>0</v>
      </c>
      <c r="AO73" s="222">
        <f t="shared" si="1332"/>
        <v>0</v>
      </c>
      <c r="AP73" s="222">
        <f t="shared" si="1332"/>
        <v>0</v>
      </c>
      <c r="AQ73" s="222">
        <f t="shared" si="1332"/>
        <v>0</v>
      </c>
      <c r="AR73" s="222">
        <f t="shared" si="1332"/>
        <v>0</v>
      </c>
      <c r="AS73" s="222">
        <f t="shared" si="1332"/>
        <v>0</v>
      </c>
      <c r="AT73" s="222">
        <f t="shared" si="1332"/>
        <v>0</v>
      </c>
      <c r="AU73" s="222">
        <f t="shared" si="1332"/>
        <v>0</v>
      </c>
      <c r="AV73" s="222">
        <f t="shared" si="1332"/>
        <v>0</v>
      </c>
      <c r="AW73" s="222">
        <f t="shared" si="1332"/>
        <v>0</v>
      </c>
      <c r="AX73" s="222">
        <f t="shared" si="1332"/>
        <v>0</v>
      </c>
      <c r="AY73" s="222">
        <f t="shared" si="1332"/>
        <v>0</v>
      </c>
      <c r="AZ73" s="222">
        <f t="shared" si="1332"/>
        <v>0</v>
      </c>
      <c r="BA73" s="222">
        <f t="shared" si="1332"/>
        <v>0</v>
      </c>
      <c r="BB73" s="222">
        <f t="shared" si="1332"/>
        <v>0</v>
      </c>
      <c r="BC73" s="222">
        <f t="shared" si="1332"/>
        <v>0</v>
      </c>
      <c r="BD73" s="222">
        <f t="shared" si="1332"/>
        <v>0</v>
      </c>
      <c r="BE73" s="222">
        <f t="shared" si="1332"/>
        <v>0</v>
      </c>
      <c r="BF73" s="222">
        <f t="shared" si="1332"/>
        <v>0</v>
      </c>
      <c r="BG73" s="222">
        <f t="shared" si="1332"/>
        <v>0</v>
      </c>
      <c r="BH73" s="222">
        <f t="shared" si="1332"/>
        <v>0</v>
      </c>
      <c r="BI73" s="222">
        <f t="shared" si="1332"/>
        <v>0</v>
      </c>
      <c r="BJ73" s="222">
        <f t="shared" si="1332"/>
        <v>0</v>
      </c>
      <c r="BK73" s="222">
        <f t="shared" si="1332"/>
        <v>0</v>
      </c>
    </row>
    <row r="74" spans="1:63" ht="7.8" x14ac:dyDescent="0.15">
      <c r="A74" s="205" t="s">
        <v>7</v>
      </c>
      <c r="B74" s="192"/>
      <c r="C74" s="192"/>
      <c r="D74" s="192"/>
      <c r="E74" s="192"/>
      <c r="F74" s="192"/>
      <c r="G74" s="192"/>
      <c r="H74" s="192"/>
      <c r="I74" s="192"/>
      <c r="J74" s="192"/>
      <c r="K74" s="214" cm="1">
        <f t="array" ref="K74">INDEX(LoanOriginations,$A69)</f>
        <v>103.55293969407334</v>
      </c>
      <c r="L74" s="199">
        <f t="shared" ref="L74:AQ74" si="1333">K74*(1-MitigateDelinquency*MitigateChargeoff)  *  IF(L69=0,0,IF(L69-102=LoanSaleHeld,0.6,1))</f>
        <v>103.44938675437928</v>
      </c>
      <c r="M74" s="199">
        <f t="shared" si="1333"/>
        <v>103.3459373676249</v>
      </c>
      <c r="N74" s="199">
        <f t="shared" si="1333"/>
        <v>103.24259143025728</v>
      </c>
      <c r="O74" s="199">
        <f t="shared" si="1333"/>
        <v>61.883609303296211</v>
      </c>
      <c r="P74" s="199">
        <f t="shared" si="1333"/>
        <v>61.821725693992917</v>
      </c>
      <c r="Q74" s="199">
        <f t="shared" si="1333"/>
        <v>61.759903968298921</v>
      </c>
      <c r="R74" s="199">
        <f t="shared" si="1333"/>
        <v>61.69814406433062</v>
      </c>
      <c r="S74" s="199">
        <f t="shared" si="1333"/>
        <v>61.63644592026629</v>
      </c>
      <c r="T74" s="199">
        <f t="shared" si="1333"/>
        <v>61.574809474346026</v>
      </c>
      <c r="U74" s="199">
        <f t="shared" si="1333"/>
        <v>61.513234664871682</v>
      </c>
      <c r="V74" s="199">
        <f t="shared" si="1333"/>
        <v>61.45172143020681</v>
      </c>
      <c r="W74" s="199">
        <f t="shared" si="1333"/>
        <v>61.3902697087766</v>
      </c>
      <c r="X74" s="199">
        <f t="shared" si="1333"/>
        <v>61.328879439067826</v>
      </c>
      <c r="Y74" s="199">
        <f t="shared" si="1333"/>
        <v>61.267550559628759</v>
      </c>
      <c r="Z74" s="199">
        <f t="shared" si="1333"/>
        <v>61.206283009069132</v>
      </c>
      <c r="AA74" s="199">
        <f t="shared" si="1333"/>
        <v>61.145076726060061</v>
      </c>
      <c r="AB74" s="199">
        <f t="shared" si="1333"/>
        <v>61.083931649333998</v>
      </c>
      <c r="AC74" s="199">
        <f t="shared" si="1333"/>
        <v>61.022847717684662</v>
      </c>
      <c r="AD74" s="199">
        <f t="shared" si="1333"/>
        <v>0</v>
      </c>
      <c r="AE74" s="199">
        <f t="shared" si="1333"/>
        <v>0</v>
      </c>
      <c r="AF74" s="199">
        <f t="shared" si="1333"/>
        <v>0</v>
      </c>
      <c r="AG74" s="199">
        <f t="shared" si="1333"/>
        <v>0</v>
      </c>
      <c r="AH74" s="199">
        <f t="shared" si="1333"/>
        <v>0</v>
      </c>
      <c r="AI74" s="199">
        <f t="shared" si="1333"/>
        <v>0</v>
      </c>
      <c r="AJ74" s="199">
        <f t="shared" si="1333"/>
        <v>0</v>
      </c>
      <c r="AK74" s="199">
        <f t="shared" si="1333"/>
        <v>0</v>
      </c>
      <c r="AL74" s="199">
        <f t="shared" si="1333"/>
        <v>0</v>
      </c>
      <c r="AM74" s="199">
        <f t="shared" si="1333"/>
        <v>0</v>
      </c>
      <c r="AN74" s="199">
        <f t="shared" si="1333"/>
        <v>0</v>
      </c>
      <c r="AO74" s="199">
        <f t="shared" si="1333"/>
        <v>0</v>
      </c>
      <c r="AP74" s="199">
        <f t="shared" si="1333"/>
        <v>0</v>
      </c>
      <c r="AQ74" s="199">
        <f t="shared" si="1333"/>
        <v>0</v>
      </c>
      <c r="AR74" s="199">
        <f t="shared" ref="AR74:BK74" si="1334">AQ74*(1-MitigateDelinquency*MitigateChargeoff)  *  IF(AR69=0,0,IF(AR69-102=LoanSaleHeld,0.6,1))</f>
        <v>0</v>
      </c>
      <c r="AS74" s="199">
        <f t="shared" si="1334"/>
        <v>0</v>
      </c>
      <c r="AT74" s="199">
        <f t="shared" si="1334"/>
        <v>0</v>
      </c>
      <c r="AU74" s="199">
        <f t="shared" si="1334"/>
        <v>0</v>
      </c>
      <c r="AV74" s="199">
        <f t="shared" si="1334"/>
        <v>0</v>
      </c>
      <c r="AW74" s="199">
        <f t="shared" si="1334"/>
        <v>0</v>
      </c>
      <c r="AX74" s="199">
        <f t="shared" si="1334"/>
        <v>0</v>
      </c>
      <c r="AY74" s="199">
        <f t="shared" si="1334"/>
        <v>0</v>
      </c>
      <c r="AZ74" s="199">
        <f t="shared" si="1334"/>
        <v>0</v>
      </c>
      <c r="BA74" s="199">
        <f t="shared" si="1334"/>
        <v>0</v>
      </c>
      <c r="BB74" s="199">
        <f t="shared" si="1334"/>
        <v>0</v>
      </c>
      <c r="BC74" s="199">
        <f t="shared" si="1334"/>
        <v>0</v>
      </c>
      <c r="BD74" s="199">
        <f t="shared" si="1334"/>
        <v>0</v>
      </c>
      <c r="BE74" s="199">
        <f t="shared" si="1334"/>
        <v>0</v>
      </c>
      <c r="BF74" s="199">
        <f t="shared" si="1334"/>
        <v>0</v>
      </c>
      <c r="BG74" s="199">
        <f t="shared" si="1334"/>
        <v>0</v>
      </c>
      <c r="BH74" s="199">
        <f t="shared" si="1334"/>
        <v>0</v>
      </c>
      <c r="BI74" s="199">
        <f t="shared" si="1334"/>
        <v>0</v>
      </c>
      <c r="BJ74" s="199">
        <f t="shared" si="1334"/>
        <v>0</v>
      </c>
      <c r="BK74" s="199">
        <f t="shared" si="1334"/>
        <v>0</v>
      </c>
    </row>
    <row r="75" spans="1:63" ht="7.8" x14ac:dyDescent="0.15">
      <c r="A75" s="207" t="s">
        <v>96</v>
      </c>
      <c r="B75" s="192"/>
      <c r="C75" s="192"/>
      <c r="D75" s="192"/>
      <c r="E75" s="192"/>
      <c r="F75" s="192"/>
      <c r="G75" s="192"/>
      <c r="H75" s="192"/>
      <c r="I75" s="192"/>
      <c r="J75" s="192"/>
      <c r="K75" s="223">
        <f>K72*K74</f>
        <v>42.068381750717293</v>
      </c>
      <c r="L75" s="200">
        <f t="shared" ref="L75" si="1335">L72*L74</f>
        <v>40.027719181995558</v>
      </c>
      <c r="M75" s="200">
        <f t="shared" ref="M75" si="1336">M72*M74</f>
        <v>37.958651191646766</v>
      </c>
      <c r="N75" s="200">
        <f t="shared" ref="N75" si="1337">N72*N74</f>
        <v>35.860742377057434</v>
      </c>
      <c r="O75" s="200">
        <f t="shared" ref="O75" si="1338">O72*O74</f>
        <v>20.240130423288615</v>
      </c>
      <c r="P75" s="200">
        <f t="shared" ref="P75" si="1339">P72*P74</f>
        <v>18.945976447820108</v>
      </c>
      <c r="Q75" s="200">
        <f t="shared" ref="Q75" si="1340">Q72*Q74</f>
        <v>17.633710141290106</v>
      </c>
      <c r="R75" s="200">
        <f t="shared" ref="R75" si="1341">R72*R74</f>
        <v>16.303053982488244</v>
      </c>
      <c r="S75" s="200">
        <f t="shared" ref="S75" si="1342">S72*S74</f>
        <v>14.953726224117906</v>
      </c>
      <c r="T75" s="200">
        <f t="shared" ref="T75" si="1343">T72*T74</f>
        <v>13.585440828415468</v>
      </c>
      <c r="U75" s="200">
        <f t="shared" ref="U75" si="1344">U72*U74</f>
        <v>12.197907401788818</v>
      </c>
      <c r="V75" s="200">
        <f t="shared" ref="V75" si="1345">V72*V74</f>
        <v>10.790831128460139</v>
      </c>
      <c r="W75" s="200">
        <f t="shared" ref="W75" si="1346">W72*W74</f>
        <v>9.3639127030978511</v>
      </c>
      <c r="X75" s="200">
        <f t="shared" ref="X75" si="1347">X72*X74</f>
        <v>7.916848262422266</v>
      </c>
      <c r="Y75" s="200">
        <f t="shared" ref="Y75" si="1348">Y72*Y74</f>
        <v>6.4493293157693552</v>
      </c>
      <c r="Z75" s="200">
        <f t="shared" ref="Z75" si="1349">Z72*Z74</f>
        <v>4.961042674596742</v>
      </c>
      <c r="AA75" s="200">
        <f t="shared" ref="AA75" si="1350">AA72*AA74</f>
        <v>3.4516703809158016</v>
      </c>
      <c r="AB75" s="200">
        <f t="shared" ref="AB75" si="1351">AB72*AB74</f>
        <v>1.920889634633524</v>
      </c>
      <c r="AC75" s="200">
        <f t="shared" ref="AC75" si="1352">AC72*AC74</f>
        <v>0.36837271978751673</v>
      </c>
      <c r="AD75" s="200">
        <f t="shared" ref="AD75" si="1353">AD72*AD74</f>
        <v>0</v>
      </c>
      <c r="AE75" s="200">
        <f t="shared" ref="AE75" si="1354">AE72*AE74</f>
        <v>0</v>
      </c>
      <c r="AF75" s="200">
        <f t="shared" ref="AF75" si="1355">AF72*AF74</f>
        <v>0</v>
      </c>
      <c r="AG75" s="200">
        <f t="shared" ref="AG75" si="1356">AG72*AG74</f>
        <v>0</v>
      </c>
      <c r="AH75" s="200">
        <f t="shared" ref="AH75" si="1357">AH72*AH74</f>
        <v>0</v>
      </c>
      <c r="AI75" s="200">
        <f t="shared" ref="AI75" si="1358">AI72*AI74</f>
        <v>0</v>
      </c>
      <c r="AJ75" s="200">
        <f t="shared" ref="AJ75" si="1359">AJ72*AJ74</f>
        <v>0</v>
      </c>
      <c r="AK75" s="200">
        <f t="shared" ref="AK75" si="1360">AK72*AK74</f>
        <v>0</v>
      </c>
      <c r="AL75" s="200">
        <f t="shared" ref="AL75" si="1361">AL72*AL74</f>
        <v>0</v>
      </c>
      <c r="AM75" s="200">
        <f t="shared" ref="AM75" si="1362">AM72*AM74</f>
        <v>0</v>
      </c>
      <c r="AN75" s="200">
        <f t="shared" ref="AN75" si="1363">AN72*AN74</f>
        <v>0</v>
      </c>
      <c r="AO75" s="200">
        <f t="shared" ref="AO75" si="1364">AO72*AO74</f>
        <v>0</v>
      </c>
      <c r="AP75" s="200">
        <f t="shared" ref="AP75" si="1365">AP72*AP74</f>
        <v>0</v>
      </c>
      <c r="AQ75" s="200">
        <f t="shared" ref="AQ75" si="1366">AQ72*AQ74</f>
        <v>0</v>
      </c>
      <c r="AR75" s="200">
        <f t="shared" ref="AR75" si="1367">AR72*AR74</f>
        <v>0</v>
      </c>
      <c r="AS75" s="200">
        <f t="shared" ref="AS75" si="1368">AS72*AS74</f>
        <v>0</v>
      </c>
      <c r="AT75" s="200">
        <f t="shared" ref="AT75" si="1369">AT72*AT74</f>
        <v>0</v>
      </c>
      <c r="AU75" s="200">
        <f t="shared" ref="AU75" si="1370">AU72*AU74</f>
        <v>0</v>
      </c>
      <c r="AV75" s="200">
        <f t="shared" ref="AV75" si="1371">AV72*AV74</f>
        <v>0</v>
      </c>
      <c r="AW75" s="200">
        <f t="shared" ref="AW75" si="1372">AW72*AW74</f>
        <v>0</v>
      </c>
      <c r="AX75" s="200">
        <f t="shared" ref="AX75" si="1373">AX72*AX74</f>
        <v>0</v>
      </c>
      <c r="AY75" s="200">
        <f t="shared" ref="AY75" si="1374">AY72*AY74</f>
        <v>0</v>
      </c>
      <c r="AZ75" s="200">
        <f t="shared" ref="AZ75" si="1375">AZ72*AZ74</f>
        <v>0</v>
      </c>
      <c r="BA75" s="200">
        <f t="shared" ref="BA75" si="1376">BA72*BA74</f>
        <v>0</v>
      </c>
      <c r="BB75" s="200">
        <f t="shared" ref="BB75" si="1377">BB72*BB74</f>
        <v>0</v>
      </c>
      <c r="BC75" s="200">
        <f t="shared" ref="BC75" si="1378">BC72*BC74</f>
        <v>0</v>
      </c>
      <c r="BD75" s="200">
        <f t="shared" ref="BD75" si="1379">BD72*BD74</f>
        <v>0</v>
      </c>
      <c r="BE75" s="200">
        <f t="shared" ref="BE75" si="1380">BE72*BE74</f>
        <v>0</v>
      </c>
      <c r="BF75" s="200">
        <f t="shared" ref="BF75" si="1381">BF72*BF74</f>
        <v>0</v>
      </c>
      <c r="BG75" s="200">
        <f t="shared" ref="BG75" si="1382">BG72*BG74</f>
        <v>0</v>
      </c>
      <c r="BH75" s="200">
        <f t="shared" ref="BH75" si="1383">BH72*BH74</f>
        <v>0</v>
      </c>
      <c r="BI75" s="200">
        <f t="shared" ref="BI75" si="1384">BI72*BI74</f>
        <v>0</v>
      </c>
      <c r="BJ75" s="200">
        <f t="shared" ref="BJ75" si="1385">BJ72*BJ74</f>
        <v>0</v>
      </c>
      <c r="BK75" s="200">
        <f t="shared" ref="BK75" si="1386">BK72*BK74</f>
        <v>0</v>
      </c>
    </row>
    <row r="76" spans="1:63" ht="7.8" x14ac:dyDescent="0.15">
      <c r="A76" s="206" t="s">
        <v>97</v>
      </c>
      <c r="B76" s="192"/>
      <c r="C76" s="192"/>
      <c r="D76" s="192"/>
      <c r="E76" s="192"/>
      <c r="F76" s="192"/>
      <c r="G76" s="192"/>
      <c r="H76" s="192"/>
      <c r="I76" s="192"/>
      <c r="J76" s="192"/>
      <c r="K76" s="223">
        <f>K73*K74</f>
        <v>123.11352503094038</v>
      </c>
      <c r="L76" s="200">
        <f>L73*L74</f>
        <v>124.98900569288047</v>
      </c>
      <c r="M76" s="200">
        <f t="shared" ref="M76:BK76" si="1387">M73*M74</f>
        <v>126.89305695835439</v>
      </c>
      <c r="N76" s="200">
        <f t="shared" si="1387"/>
        <v>128.82611406479373</v>
      </c>
      <c r="O76" s="200">
        <f t="shared" si="1387"/>
        <v>78.473171327956976</v>
      </c>
      <c r="P76" s="200">
        <f t="shared" si="1387"/>
        <v>79.668612001674234</v>
      </c>
      <c r="Q76" s="200">
        <f t="shared" si="1387"/>
        <v>80.882263719754746</v>
      </c>
      <c r="R76" s="200">
        <f t="shared" si="1387"/>
        <v>82.11440390469555</v>
      </c>
      <c r="S76" s="200">
        <f t="shared" si="1387"/>
        <v>83.365314205178706</v>
      </c>
      <c r="T76" s="200">
        <f t="shared" si="1387"/>
        <v>84.635280560451847</v>
      </c>
      <c r="U76" s="200">
        <f t="shared" si="1387"/>
        <v>85.924593265689637</v>
      </c>
      <c r="V76" s="200">
        <f t="shared" si="1387"/>
        <v>87.233547038350835</v>
      </c>
      <c r="W76" s="200">
        <f t="shared" si="1387"/>
        <v>88.562441085546297</v>
      </c>
      <c r="X76" s="200">
        <f t="shared" si="1387"/>
        <v>89.91157917243325</v>
      </c>
      <c r="Y76" s="200">
        <f t="shared" si="1387"/>
        <v>91.281269691651303</v>
      </c>
      <c r="Z76" s="200">
        <f t="shared" si="1387"/>
        <v>92.671825733816505</v>
      </c>
      <c r="AA76" s="200">
        <f t="shared" si="1387"/>
        <v>94.083565159089019</v>
      </c>
      <c r="AB76" s="200">
        <f t="shared" si="1387"/>
        <v>95.516810669831287</v>
      </c>
      <c r="AC76" s="200">
        <f t="shared" si="1387"/>
        <v>96.971889884372843</v>
      </c>
      <c r="AD76" s="200">
        <f t="shared" si="1387"/>
        <v>0</v>
      </c>
      <c r="AE76" s="200">
        <f t="shared" si="1387"/>
        <v>0</v>
      </c>
      <c r="AF76" s="200">
        <f t="shared" si="1387"/>
        <v>0</v>
      </c>
      <c r="AG76" s="200">
        <f t="shared" si="1387"/>
        <v>0</v>
      </c>
      <c r="AH76" s="200">
        <f t="shared" si="1387"/>
        <v>0</v>
      </c>
      <c r="AI76" s="200">
        <f t="shared" si="1387"/>
        <v>0</v>
      </c>
      <c r="AJ76" s="200">
        <f t="shared" si="1387"/>
        <v>0</v>
      </c>
      <c r="AK76" s="200">
        <f t="shared" si="1387"/>
        <v>0</v>
      </c>
      <c r="AL76" s="200">
        <f t="shared" si="1387"/>
        <v>0</v>
      </c>
      <c r="AM76" s="200">
        <f t="shared" si="1387"/>
        <v>0</v>
      </c>
      <c r="AN76" s="200">
        <f t="shared" si="1387"/>
        <v>0</v>
      </c>
      <c r="AO76" s="200">
        <f t="shared" si="1387"/>
        <v>0</v>
      </c>
      <c r="AP76" s="200">
        <f t="shared" si="1387"/>
        <v>0</v>
      </c>
      <c r="AQ76" s="200">
        <f t="shared" si="1387"/>
        <v>0</v>
      </c>
      <c r="AR76" s="200">
        <f t="shared" si="1387"/>
        <v>0</v>
      </c>
      <c r="AS76" s="200">
        <f t="shared" si="1387"/>
        <v>0</v>
      </c>
      <c r="AT76" s="200">
        <f t="shared" si="1387"/>
        <v>0</v>
      </c>
      <c r="AU76" s="200">
        <f t="shared" si="1387"/>
        <v>0</v>
      </c>
      <c r="AV76" s="200">
        <f t="shared" si="1387"/>
        <v>0</v>
      </c>
      <c r="AW76" s="200">
        <f t="shared" si="1387"/>
        <v>0</v>
      </c>
      <c r="AX76" s="200">
        <f t="shared" si="1387"/>
        <v>0</v>
      </c>
      <c r="AY76" s="200">
        <f t="shared" si="1387"/>
        <v>0</v>
      </c>
      <c r="AZ76" s="200">
        <f t="shared" si="1387"/>
        <v>0</v>
      </c>
      <c r="BA76" s="200">
        <f t="shared" si="1387"/>
        <v>0</v>
      </c>
      <c r="BB76" s="200">
        <f t="shared" si="1387"/>
        <v>0</v>
      </c>
      <c r="BC76" s="200">
        <f t="shared" si="1387"/>
        <v>0</v>
      </c>
      <c r="BD76" s="200">
        <f t="shared" si="1387"/>
        <v>0</v>
      </c>
      <c r="BE76" s="200">
        <f t="shared" si="1387"/>
        <v>0</v>
      </c>
      <c r="BF76" s="200">
        <f t="shared" si="1387"/>
        <v>0</v>
      </c>
      <c r="BG76" s="200">
        <f t="shared" si="1387"/>
        <v>0</v>
      </c>
      <c r="BH76" s="200">
        <f t="shared" si="1387"/>
        <v>0</v>
      </c>
      <c r="BI76" s="200">
        <f t="shared" si="1387"/>
        <v>0</v>
      </c>
      <c r="BJ76" s="200">
        <f t="shared" si="1387"/>
        <v>0</v>
      </c>
      <c r="BK76" s="200">
        <f t="shared" si="1387"/>
        <v>0</v>
      </c>
    </row>
    <row r="77" spans="1:63" ht="7.8" x14ac:dyDescent="0.15">
      <c r="A77" s="208" t="s">
        <v>203</v>
      </c>
      <c r="B77" s="192"/>
      <c r="C77" s="192"/>
      <c r="D77" s="192"/>
      <c r="E77" s="192"/>
      <c r="F77" s="192"/>
      <c r="G77" s="192"/>
      <c r="H77" s="192"/>
      <c r="I77" s="192"/>
      <c r="J77" s="192"/>
      <c r="K77" s="224">
        <f>IF(K69-101&lt;&gt;LoanSaleHeld,0,SUM($D76:K76)*LoanSalePercent)</f>
        <v>0</v>
      </c>
      <c r="L77" s="225">
        <f>IF(L69-101&lt;&gt;LoanSaleHeld,0,SUM($D76:L76)*LoanSalePercent)</f>
        <v>0</v>
      </c>
      <c r="M77" s="225">
        <f>IF(M69-101&lt;&gt;LoanSaleHeld,0,SUM($D76:M76)*LoanSalePercent)</f>
        <v>0</v>
      </c>
      <c r="N77" s="225">
        <f>IF(N69-101&lt;&gt;LoanSaleHeld,0,SUM($D76:N76)*LoanSalePercent)</f>
        <v>201.52868069878761</v>
      </c>
      <c r="O77" s="225">
        <f>IF(O69-101&lt;&gt;LoanSaleHeld,0,SUM($D76:O76)*LoanSalePercent)</f>
        <v>0</v>
      </c>
      <c r="P77" s="225">
        <f>IF(P69-101&lt;&gt;LoanSaleHeld,0,SUM($D76:P76)*LoanSalePercent)</f>
        <v>0</v>
      </c>
      <c r="Q77" s="225">
        <f>IF(Q69-101&lt;&gt;LoanSaleHeld,0,SUM($D76:Q76)*LoanSalePercent)</f>
        <v>0</v>
      </c>
      <c r="R77" s="225">
        <f>IF(R69-101&lt;&gt;LoanSaleHeld,0,SUM($D76:R76)*LoanSalePercent)</f>
        <v>0</v>
      </c>
      <c r="S77" s="225">
        <f>IF(S69-101&lt;&gt;LoanSaleHeld,0,SUM($D76:S76)*LoanSalePercent)</f>
        <v>0</v>
      </c>
      <c r="T77" s="225">
        <f>IF(T69-101&lt;&gt;LoanSaleHeld,0,SUM($D76:T76)*LoanSalePercent)</f>
        <v>0</v>
      </c>
      <c r="U77" s="225">
        <f>IF(U69-101&lt;&gt;LoanSaleHeld,0,SUM($D76:U76)*LoanSalePercent)</f>
        <v>0</v>
      </c>
      <c r="V77" s="225">
        <f>IF(V69-101&lt;&gt;LoanSaleHeld,0,SUM($D76:V76)*LoanSalePercent)</f>
        <v>0</v>
      </c>
      <c r="W77" s="225">
        <f>IF(W69-101&lt;&gt;LoanSaleHeld,0,SUM($D76:W76)*LoanSalePercent)</f>
        <v>0</v>
      </c>
      <c r="X77" s="225">
        <f>IF(X69-101&lt;&gt;LoanSaleHeld,0,SUM($D76:X76)*LoanSalePercent)</f>
        <v>0</v>
      </c>
      <c r="Y77" s="225">
        <f>IF(Y69-101&lt;&gt;LoanSaleHeld,0,SUM($D76:Y76)*LoanSalePercent)</f>
        <v>0</v>
      </c>
      <c r="Z77" s="225">
        <f>IF(Z69-101&lt;&gt;LoanSaleHeld,0,SUM($D76:Z76)*LoanSalePercent)</f>
        <v>0</v>
      </c>
      <c r="AA77" s="225">
        <f>IF(AA69-101&lt;&gt;LoanSaleHeld,0,SUM($D76:AA76)*LoanSalePercent)</f>
        <v>0</v>
      </c>
      <c r="AB77" s="225">
        <f>IF(AB69-101&lt;&gt;LoanSaleHeld,0,SUM($D76:AB76)*LoanSalePercent)</f>
        <v>0</v>
      </c>
      <c r="AC77" s="225">
        <f>IF(AC69-101&lt;&gt;LoanSaleHeld,0,SUM($D76:AC76)*LoanSalePercent)</f>
        <v>0</v>
      </c>
      <c r="AD77" s="225">
        <f>IF(AD69-101&lt;&gt;LoanSaleHeld,0,SUM($D76:AD76)*LoanSalePercent)</f>
        <v>0</v>
      </c>
      <c r="AE77" s="225">
        <f>IF(AE69-101&lt;&gt;LoanSaleHeld,0,SUM($D76:AE76)*LoanSalePercent)</f>
        <v>0</v>
      </c>
      <c r="AF77" s="225">
        <f>IF(AF69-101&lt;&gt;LoanSaleHeld,0,SUM($D76:AF76)*LoanSalePercent)</f>
        <v>0</v>
      </c>
      <c r="AG77" s="225">
        <f>IF(AG69-101&lt;&gt;LoanSaleHeld,0,SUM($D76:AG76)*LoanSalePercent)</f>
        <v>0</v>
      </c>
      <c r="AH77" s="225">
        <f>IF(AH69-101&lt;&gt;LoanSaleHeld,0,SUM($D76:AH76)*LoanSalePercent)</f>
        <v>0</v>
      </c>
      <c r="AI77" s="225">
        <f>IF(AI69-101&lt;&gt;LoanSaleHeld,0,SUM($D76:AI76)*LoanSalePercent)</f>
        <v>0</v>
      </c>
      <c r="AJ77" s="225">
        <f>IF(AJ69-101&lt;&gt;LoanSaleHeld,0,SUM($D76:AJ76)*LoanSalePercent)</f>
        <v>0</v>
      </c>
      <c r="AK77" s="225">
        <f>IF(AK69-101&lt;&gt;LoanSaleHeld,0,SUM($D76:AK76)*LoanSalePercent)</f>
        <v>0</v>
      </c>
      <c r="AL77" s="225">
        <f>IF(AL69-101&lt;&gt;LoanSaleHeld,0,SUM($D76:AL76)*LoanSalePercent)</f>
        <v>0</v>
      </c>
      <c r="AM77" s="225">
        <f>IF(AM69-101&lt;&gt;LoanSaleHeld,0,SUM($D76:AM76)*LoanSalePercent)</f>
        <v>0</v>
      </c>
      <c r="AN77" s="225">
        <f>IF(AN69-101&lt;&gt;LoanSaleHeld,0,SUM($D76:AN76)*LoanSalePercent)</f>
        <v>0</v>
      </c>
      <c r="AO77" s="225">
        <f>IF(AO69-101&lt;&gt;LoanSaleHeld,0,SUM($D76:AO76)*LoanSalePercent)</f>
        <v>0</v>
      </c>
      <c r="AP77" s="225">
        <f>IF(AP69-101&lt;&gt;LoanSaleHeld,0,SUM($D76:AP76)*LoanSalePercent)</f>
        <v>0</v>
      </c>
      <c r="AQ77" s="225">
        <f>IF(AQ69-101&lt;&gt;LoanSaleHeld,0,SUM($D76:AQ76)*LoanSalePercent)</f>
        <v>0</v>
      </c>
      <c r="AR77" s="225">
        <f>IF(AR69-101&lt;&gt;LoanSaleHeld,0,SUM($D76:AR76)*LoanSalePercent)</f>
        <v>0</v>
      </c>
      <c r="AS77" s="225">
        <f>IF(AS69-101&lt;&gt;LoanSaleHeld,0,SUM($D76:AS76)*LoanSalePercent)</f>
        <v>0</v>
      </c>
      <c r="AT77" s="225">
        <f>IF(AT69-101&lt;&gt;LoanSaleHeld,0,SUM($D76:AT76)*LoanSalePercent)</f>
        <v>0</v>
      </c>
      <c r="AU77" s="225">
        <f>IF(AU69-101&lt;&gt;LoanSaleHeld,0,SUM($D76:AU76)*LoanSalePercent)</f>
        <v>0</v>
      </c>
      <c r="AV77" s="225">
        <f>IF(AV69-101&lt;&gt;LoanSaleHeld,0,SUM($D76:AV76)*LoanSalePercent)</f>
        <v>0</v>
      </c>
      <c r="AW77" s="225">
        <f>IF(AW69-101&lt;&gt;LoanSaleHeld,0,SUM($D76:AW76)*LoanSalePercent)</f>
        <v>0</v>
      </c>
      <c r="AX77" s="225">
        <f>IF(AX69-101&lt;&gt;LoanSaleHeld,0,SUM($D76:AX76)*LoanSalePercent)</f>
        <v>0</v>
      </c>
      <c r="AY77" s="225">
        <f>IF(AY69-101&lt;&gt;LoanSaleHeld,0,SUM($D76:AY76)*LoanSalePercent)</f>
        <v>0</v>
      </c>
      <c r="AZ77" s="225">
        <f>IF(AZ69-101&lt;&gt;LoanSaleHeld,0,SUM($D76:AZ76)*LoanSalePercent)</f>
        <v>0</v>
      </c>
      <c r="BA77" s="225">
        <f>IF(BA69-101&lt;&gt;LoanSaleHeld,0,SUM($D76:BA76)*LoanSalePercent)</f>
        <v>0</v>
      </c>
      <c r="BB77" s="225">
        <f>IF(BB69-101&lt;&gt;LoanSaleHeld,0,SUM($D76:BB76)*LoanSalePercent)</f>
        <v>0</v>
      </c>
      <c r="BC77" s="225">
        <f>IF(BC69-101&lt;&gt;LoanSaleHeld,0,SUM($D76:BC76)*LoanSalePercent)</f>
        <v>0</v>
      </c>
      <c r="BD77" s="225">
        <f>IF(BD69-101&lt;&gt;LoanSaleHeld,0,SUM($D76:BD76)*LoanSalePercent)</f>
        <v>0</v>
      </c>
      <c r="BE77" s="225">
        <f>IF(BE69-101&lt;&gt;LoanSaleHeld,0,SUM($D76:BE76)*LoanSalePercent)</f>
        <v>0</v>
      </c>
      <c r="BF77" s="225">
        <f>IF(BF69-101&lt;&gt;LoanSaleHeld,0,SUM($D76:BF76)*LoanSalePercent)</f>
        <v>0</v>
      </c>
      <c r="BG77" s="225">
        <f>IF(BG69-101&lt;&gt;LoanSaleHeld,0,SUM($D76:BG76)*LoanSalePercent)</f>
        <v>0</v>
      </c>
      <c r="BH77" s="225">
        <f>IF(BH69-101&lt;&gt;LoanSaleHeld,0,SUM($D76:BH76)*LoanSalePercent)</f>
        <v>0</v>
      </c>
      <c r="BI77" s="225">
        <f>IF(BI69-101&lt;&gt;LoanSaleHeld,0,SUM($D76:BI76)*LoanSalePercent)</f>
        <v>0</v>
      </c>
      <c r="BJ77" s="225">
        <f>IF(BJ69-101&lt;&gt;LoanSaleHeld,0,SUM($D76:BJ76)*LoanSalePercent)</f>
        <v>0</v>
      </c>
      <c r="BK77" s="225">
        <f>IF(BK69-101&lt;&gt;LoanSaleHeld,0,SUM($D76:BK76)*LoanSalePercent)</f>
        <v>0</v>
      </c>
    </row>
    <row r="78" spans="1:63" ht="7.8" x14ac:dyDescent="0.15">
      <c r="A78" s="204">
        <f t="shared" ref="A78" si="1388">A69+1</f>
        <v>9</v>
      </c>
      <c r="B78" s="192"/>
      <c r="C78" s="192"/>
      <c r="D78" s="192"/>
      <c r="E78" s="192"/>
      <c r="F78" s="192"/>
      <c r="G78" s="192"/>
      <c r="H78" s="192"/>
      <c r="I78" s="192"/>
      <c r="J78" s="192"/>
      <c r="K78" s="192"/>
      <c r="L78" s="195">
        <v>101</v>
      </c>
      <c r="M78" s="196">
        <f t="shared" ref="M78" si="1389">IF(M79=0,0,L78+1)</f>
        <v>102</v>
      </c>
      <c r="N78" s="196">
        <f t="shared" ref="N78" si="1390">IF(N79=0,0,M78+1)</f>
        <v>103</v>
      </c>
      <c r="O78" s="196">
        <f t="shared" ref="O78" si="1391">IF(O79=0,0,N78+1)</f>
        <v>104</v>
      </c>
      <c r="P78" s="196">
        <f t="shared" ref="P78" si="1392">IF(P79=0,0,O78+1)</f>
        <v>105</v>
      </c>
      <c r="Q78" s="196">
        <f t="shared" ref="Q78" si="1393">IF(Q79=0,0,P78+1)</f>
        <v>106</v>
      </c>
      <c r="R78" s="196">
        <f t="shared" ref="R78" si="1394">IF(R79=0,0,Q78+1)</f>
        <v>107</v>
      </c>
      <c r="S78" s="196">
        <f t="shared" ref="S78" si="1395">IF(S79=0,0,R78+1)</f>
        <v>108</v>
      </c>
      <c r="T78" s="196">
        <f t="shared" ref="T78" si="1396">IF(T79=0,0,S78+1)</f>
        <v>109</v>
      </c>
      <c r="U78" s="196">
        <f t="shared" ref="U78" si="1397">IF(U79=0,0,T78+1)</f>
        <v>110</v>
      </c>
      <c r="V78" s="196">
        <f t="shared" ref="V78" si="1398">IF(V79=0,0,U78+1)</f>
        <v>111</v>
      </c>
      <c r="W78" s="196">
        <f t="shared" ref="W78" si="1399">IF(W79=0,0,V78+1)</f>
        <v>112</v>
      </c>
      <c r="X78" s="196">
        <f t="shared" ref="X78" si="1400">IF(X79=0,0,W78+1)</f>
        <v>113</v>
      </c>
      <c r="Y78" s="196">
        <f t="shared" ref="Y78" si="1401">IF(Y79=0,0,X78+1)</f>
        <v>114</v>
      </c>
      <c r="Z78" s="196">
        <f t="shared" ref="Z78" si="1402">IF(Z79=0,0,Y78+1)</f>
        <v>115</v>
      </c>
      <c r="AA78" s="196">
        <f t="shared" ref="AA78" si="1403">IF(AA79=0,0,Z78+1)</f>
        <v>116</v>
      </c>
      <c r="AB78" s="196">
        <f t="shared" ref="AB78" si="1404">IF(AB79=0,0,AA78+1)</f>
        <v>117</v>
      </c>
      <c r="AC78" s="196">
        <f t="shared" ref="AC78" si="1405">IF(AC79=0,0,AB78+1)</f>
        <v>118</v>
      </c>
      <c r="AD78" s="196">
        <f t="shared" ref="AD78" si="1406">IF(AD79=0,0,AC78+1)</f>
        <v>119</v>
      </c>
      <c r="AE78" s="196">
        <f t="shared" ref="AE78" si="1407">IF(AE79=0,0,AD78+1)</f>
        <v>0</v>
      </c>
      <c r="AF78" s="196">
        <f t="shared" ref="AF78" si="1408">IF(AF79=0,0,AE78+1)</f>
        <v>0</v>
      </c>
      <c r="AG78" s="196">
        <f t="shared" ref="AG78" si="1409">IF(AG79=0,0,AF78+1)</f>
        <v>0</v>
      </c>
      <c r="AH78" s="196">
        <f t="shared" ref="AH78" si="1410">IF(AH79=0,0,AG78+1)</f>
        <v>0</v>
      </c>
      <c r="AI78" s="196">
        <f t="shared" ref="AI78" si="1411">IF(AI79=0,0,AH78+1)</f>
        <v>0</v>
      </c>
      <c r="AJ78" s="196">
        <f t="shared" ref="AJ78" si="1412">IF(AJ79=0,0,AI78+1)</f>
        <v>0</v>
      </c>
      <c r="AK78" s="196">
        <f t="shared" ref="AK78" si="1413">IF(AK79=0,0,AJ78+1)</f>
        <v>0</v>
      </c>
      <c r="AL78" s="196">
        <f t="shared" ref="AL78" si="1414">IF(AL79=0,0,AK78+1)</f>
        <v>0</v>
      </c>
      <c r="AM78" s="196">
        <f t="shared" ref="AM78" si="1415">IF(AM79=0,0,AL78+1)</f>
        <v>0</v>
      </c>
      <c r="AN78" s="196">
        <f t="shared" ref="AN78" si="1416">IF(AN79=0,0,AM78+1)</f>
        <v>0</v>
      </c>
      <c r="AO78" s="196">
        <f t="shared" ref="AO78" si="1417">IF(AO79=0,0,AN78+1)</f>
        <v>0</v>
      </c>
      <c r="AP78" s="196">
        <f t="shared" ref="AP78" si="1418">IF(AP79=0,0,AO78+1)</f>
        <v>0</v>
      </c>
      <c r="AQ78" s="196">
        <f t="shared" ref="AQ78" si="1419">IF(AQ79=0,0,AP78+1)</f>
        <v>0</v>
      </c>
      <c r="AR78" s="196">
        <f t="shared" ref="AR78" si="1420">IF(AR79=0,0,AQ78+1)</f>
        <v>0</v>
      </c>
      <c r="AS78" s="196">
        <f t="shared" ref="AS78" si="1421">IF(AS79=0,0,AR78+1)</f>
        <v>0</v>
      </c>
      <c r="AT78" s="196">
        <f t="shared" ref="AT78" si="1422">IF(AT79=0,0,AS78+1)</f>
        <v>0</v>
      </c>
      <c r="AU78" s="196">
        <f t="shared" ref="AU78" si="1423">IF(AU79=0,0,AT78+1)</f>
        <v>0</v>
      </c>
      <c r="AV78" s="196">
        <f t="shared" ref="AV78" si="1424">IF(AV79=0,0,AU78+1)</f>
        <v>0</v>
      </c>
      <c r="AW78" s="196">
        <f t="shared" ref="AW78" si="1425">IF(AW79=0,0,AV78+1)</f>
        <v>0</v>
      </c>
      <c r="AX78" s="196">
        <f t="shared" ref="AX78" si="1426">IF(AX79=0,0,AW78+1)</f>
        <v>0</v>
      </c>
      <c r="AY78" s="196">
        <f t="shared" ref="AY78" si="1427">IF(AY79=0,0,AX78+1)</f>
        <v>0</v>
      </c>
      <c r="AZ78" s="196">
        <f t="shared" ref="AZ78" si="1428">IF(AZ79=0,0,AY78+1)</f>
        <v>0</v>
      </c>
      <c r="BA78" s="196">
        <f t="shared" ref="BA78" si="1429">IF(BA79=0,0,AZ78+1)</f>
        <v>0</v>
      </c>
      <c r="BB78" s="196">
        <f t="shared" ref="BB78" si="1430">IF(BB79=0,0,BA78+1)</f>
        <v>0</v>
      </c>
      <c r="BC78" s="196">
        <f t="shared" ref="BC78" si="1431">IF(BC79=0,0,BB78+1)</f>
        <v>0</v>
      </c>
      <c r="BD78" s="196">
        <f t="shared" ref="BD78" si="1432">IF(BD79=0,0,BC78+1)</f>
        <v>0</v>
      </c>
      <c r="BE78" s="196">
        <f t="shared" ref="BE78" si="1433">IF(BE79=0,0,BD78+1)</f>
        <v>0</v>
      </c>
      <c r="BF78" s="196">
        <f t="shared" ref="BF78" si="1434">IF(BF79=0,0,BE78+1)</f>
        <v>0</v>
      </c>
      <c r="BG78" s="196">
        <f t="shared" ref="BG78" si="1435">IF(BG79=0,0,BF78+1)</f>
        <v>0</v>
      </c>
      <c r="BH78" s="196">
        <f t="shared" ref="BH78" si="1436">IF(BH79=0,0,BG78+1)</f>
        <v>0</v>
      </c>
      <c r="BI78" s="196">
        <f t="shared" ref="BI78" si="1437">IF(BI79=0,0,BH78+1)</f>
        <v>0</v>
      </c>
      <c r="BJ78" s="196">
        <f t="shared" ref="BJ78" si="1438">IF(BJ79=0,0,BI78+1)</f>
        <v>0</v>
      </c>
      <c r="BK78" s="196">
        <f t="shared" ref="BK78" si="1439">IF(BK79=0,0,BJ78+1)</f>
        <v>0</v>
      </c>
    </row>
    <row r="79" spans="1:63" ht="7.8" x14ac:dyDescent="0.15">
      <c r="A79" s="216" t="s">
        <v>178</v>
      </c>
      <c r="B79" s="192"/>
      <c r="C79" s="192"/>
      <c r="D79" s="192"/>
      <c r="E79" s="192"/>
      <c r="F79" s="192"/>
      <c r="G79" s="192"/>
      <c r="H79" s="192"/>
      <c r="I79" s="192"/>
      <c r="J79" s="192"/>
      <c r="K79" s="192"/>
      <c r="L79" s="217">
        <f>LoanSize</f>
        <v>25</v>
      </c>
      <c r="M79" s="215">
        <f>IF(L79-L82&lt;=0.1,0,L79-L82)</f>
        <v>23.811105455869676</v>
      </c>
      <c r="N79" s="215">
        <f t="shared" ref="N79:BK79" si="1440">IF(M79-M82&lt;=0.1,0,M79-M82)</f>
        <v>22.602891375397235</v>
      </c>
      <c r="O79" s="215">
        <f t="shared" si="1440"/>
        <v>21.375043816117113</v>
      </c>
      <c r="P79" s="215">
        <f t="shared" si="1440"/>
        <v>20.127243733998689</v>
      </c>
      <c r="Q79" s="215">
        <f t="shared" si="1440"/>
        <v>18.859166900545844</v>
      </c>
      <c r="R79" s="215">
        <f t="shared" si="1440"/>
        <v>17.570483818549388</v>
      </c>
      <c r="S79" s="215">
        <f t="shared" si="1440"/>
        <v>16.260859636470489</v>
      </c>
      <c r="T79" s="215">
        <f t="shared" si="1440"/>
        <v>14.929954061432809</v>
      </c>
      <c r="U79" s="215">
        <f t="shared" si="1440"/>
        <v>13.577421270800768</v>
      </c>
      <c r="V79" s="215">
        <f t="shared" si="1440"/>
        <v>12.202909822320954</v>
      </c>
      <c r="W79" s="215">
        <f t="shared" si="1440"/>
        <v>10.806062562803344</v>
      </c>
      <c r="X79" s="215">
        <f t="shared" si="1440"/>
        <v>9.3865165353185738</v>
      </c>
      <c r="Y79" s="215">
        <f t="shared" si="1440"/>
        <v>7.9439028848871756</v>
      </c>
      <c r="Z79" s="215">
        <f t="shared" si="1440"/>
        <v>6.4778467626362666</v>
      </c>
      <c r="AA79" s="215">
        <f t="shared" si="1440"/>
        <v>4.987967228398781</v>
      </c>
      <c r="AB79" s="215">
        <f t="shared" si="1440"/>
        <v>3.4738771517299361</v>
      </c>
      <c r="AC79" s="215">
        <f t="shared" si="1440"/>
        <v>1.9351831113152225</v>
      </c>
      <c r="AD79" s="215">
        <f t="shared" si="1440"/>
        <v>0.37148529274376973</v>
      </c>
      <c r="AE79" s="215">
        <f t="shared" si="1440"/>
        <v>0</v>
      </c>
      <c r="AF79" s="215">
        <f t="shared" si="1440"/>
        <v>0</v>
      </c>
      <c r="AG79" s="215">
        <f t="shared" si="1440"/>
        <v>0</v>
      </c>
      <c r="AH79" s="215">
        <f t="shared" si="1440"/>
        <v>0</v>
      </c>
      <c r="AI79" s="215">
        <f t="shared" si="1440"/>
        <v>0</v>
      </c>
      <c r="AJ79" s="215">
        <f t="shared" si="1440"/>
        <v>0</v>
      </c>
      <c r="AK79" s="215">
        <f t="shared" si="1440"/>
        <v>0</v>
      </c>
      <c r="AL79" s="215">
        <f t="shared" si="1440"/>
        <v>0</v>
      </c>
      <c r="AM79" s="215">
        <f t="shared" si="1440"/>
        <v>0</v>
      </c>
      <c r="AN79" s="215">
        <f t="shared" si="1440"/>
        <v>0</v>
      </c>
      <c r="AO79" s="215">
        <f t="shared" si="1440"/>
        <v>0</v>
      </c>
      <c r="AP79" s="215">
        <f t="shared" si="1440"/>
        <v>0</v>
      </c>
      <c r="AQ79" s="215">
        <f t="shared" si="1440"/>
        <v>0</v>
      </c>
      <c r="AR79" s="215">
        <f t="shared" si="1440"/>
        <v>0</v>
      </c>
      <c r="AS79" s="215">
        <f t="shared" si="1440"/>
        <v>0</v>
      </c>
      <c r="AT79" s="215">
        <f t="shared" si="1440"/>
        <v>0</v>
      </c>
      <c r="AU79" s="215">
        <f t="shared" si="1440"/>
        <v>0</v>
      </c>
      <c r="AV79" s="215">
        <f t="shared" si="1440"/>
        <v>0</v>
      </c>
      <c r="AW79" s="215">
        <f t="shared" si="1440"/>
        <v>0</v>
      </c>
      <c r="AX79" s="215">
        <f t="shared" si="1440"/>
        <v>0</v>
      </c>
      <c r="AY79" s="215">
        <f t="shared" si="1440"/>
        <v>0</v>
      </c>
      <c r="AZ79" s="215">
        <f t="shared" si="1440"/>
        <v>0</v>
      </c>
      <c r="BA79" s="215">
        <f t="shared" si="1440"/>
        <v>0</v>
      </c>
      <c r="BB79" s="215">
        <f t="shared" si="1440"/>
        <v>0</v>
      </c>
      <c r="BC79" s="215">
        <f t="shared" si="1440"/>
        <v>0</v>
      </c>
      <c r="BD79" s="215">
        <f t="shared" si="1440"/>
        <v>0</v>
      </c>
      <c r="BE79" s="215">
        <f t="shared" si="1440"/>
        <v>0</v>
      </c>
      <c r="BF79" s="215">
        <f t="shared" si="1440"/>
        <v>0</v>
      </c>
      <c r="BG79" s="215">
        <f t="shared" si="1440"/>
        <v>0</v>
      </c>
      <c r="BH79" s="215">
        <f t="shared" si="1440"/>
        <v>0</v>
      </c>
      <c r="BI79" s="215">
        <f t="shared" si="1440"/>
        <v>0</v>
      </c>
      <c r="BJ79" s="215">
        <f t="shared" si="1440"/>
        <v>0</v>
      </c>
      <c r="BK79" s="215">
        <f t="shared" si="1440"/>
        <v>0</v>
      </c>
    </row>
    <row r="80" spans="1:63" ht="7.8" x14ac:dyDescent="0.15">
      <c r="A80" s="218" t="s">
        <v>179</v>
      </c>
      <c r="B80" s="192"/>
      <c r="C80" s="192"/>
      <c r="D80" s="192"/>
      <c r="E80" s="192"/>
      <c r="F80" s="192"/>
      <c r="G80" s="192"/>
      <c r="H80" s="192"/>
      <c r="I80" s="192"/>
      <c r="J80" s="192"/>
      <c r="K80" s="192"/>
      <c r="L80" s="219">
        <f>IF(L79=0,0,PMT(INDEX(LoanCohortRate,1),LoanTerm, -LoanSize))</f>
        <v>1.5951445441303251</v>
      </c>
      <c r="M80" s="222">
        <f t="shared" ref="M80" si="1441">IF(M79=0,0, L80)</f>
        <v>1.5951445441303251</v>
      </c>
      <c r="N80" s="222">
        <f t="shared" ref="N80" si="1442">IF(N79=0,0, M80)</f>
        <v>1.5951445441303251</v>
      </c>
      <c r="O80" s="222">
        <f t="shared" ref="O80" si="1443">IF(O79=0,0, N80)</f>
        <v>1.5951445441303251</v>
      </c>
      <c r="P80" s="222">
        <f t="shared" ref="P80" si="1444">IF(P79=0,0, O80)</f>
        <v>1.5951445441303251</v>
      </c>
      <c r="Q80" s="222">
        <f t="shared" ref="Q80" si="1445">IF(Q79=0,0, P80)</f>
        <v>1.5951445441303251</v>
      </c>
      <c r="R80" s="222">
        <f t="shared" ref="R80" si="1446">IF(R79=0,0, Q80)</f>
        <v>1.5951445441303251</v>
      </c>
      <c r="S80" s="222">
        <f t="shared" ref="S80" si="1447">IF(S79=0,0, R80)</f>
        <v>1.5951445441303251</v>
      </c>
      <c r="T80" s="222">
        <f t="shared" ref="T80" si="1448">IF(T79=0,0, S80)</f>
        <v>1.5951445441303251</v>
      </c>
      <c r="U80" s="222">
        <f t="shared" ref="U80" si="1449">IF(U79=0,0, T80)</f>
        <v>1.5951445441303251</v>
      </c>
      <c r="V80" s="222">
        <f t="shared" ref="V80" si="1450">IF(V79=0,0, U80)</f>
        <v>1.5951445441303251</v>
      </c>
      <c r="W80" s="222">
        <f t="shared" ref="W80" si="1451">IF(W79=0,0, V80)</f>
        <v>1.5951445441303251</v>
      </c>
      <c r="X80" s="222">
        <f t="shared" ref="X80" si="1452">IF(X79=0,0, W80)</f>
        <v>1.5951445441303251</v>
      </c>
      <c r="Y80" s="222">
        <f t="shared" ref="Y80" si="1453">IF(Y79=0,0, X80)</f>
        <v>1.5951445441303251</v>
      </c>
      <c r="Z80" s="222">
        <f t="shared" ref="Z80" si="1454">IF(Z79=0,0, Y80)</f>
        <v>1.5951445441303251</v>
      </c>
      <c r="AA80" s="222">
        <f t="shared" ref="AA80" si="1455">IF(AA79=0,0, Z80)</f>
        <v>1.5951445441303251</v>
      </c>
      <c r="AB80" s="222">
        <f t="shared" ref="AB80" si="1456">IF(AB79=0,0, AA80)</f>
        <v>1.5951445441303251</v>
      </c>
      <c r="AC80" s="222">
        <f t="shared" ref="AC80" si="1457">IF(AC79=0,0, AB80)</f>
        <v>1.5951445441303251</v>
      </c>
      <c r="AD80" s="222">
        <f t="shared" ref="AD80" si="1458">IF(AD79=0,0, AC80)</f>
        <v>1.5951445441303251</v>
      </c>
      <c r="AE80" s="222">
        <f t="shared" ref="AE80" si="1459">IF(AE79=0,0, AD80)</f>
        <v>0</v>
      </c>
      <c r="AF80" s="222">
        <f t="shared" ref="AF80" si="1460">IF(AF79=0,0, AE80)</f>
        <v>0</v>
      </c>
      <c r="AG80" s="222">
        <f t="shared" ref="AG80" si="1461">IF(AG79=0,0, AF80)</f>
        <v>0</v>
      </c>
      <c r="AH80" s="222">
        <f t="shared" ref="AH80" si="1462">IF(AH79=0,0, AG80)</f>
        <v>0</v>
      </c>
      <c r="AI80" s="222">
        <f t="shared" ref="AI80" si="1463">IF(AI79=0,0, AH80)</f>
        <v>0</v>
      </c>
      <c r="AJ80" s="222">
        <f t="shared" ref="AJ80" si="1464">IF(AJ79=0,0, AI80)</f>
        <v>0</v>
      </c>
      <c r="AK80" s="222">
        <f t="shared" ref="AK80" si="1465">IF(AK79=0,0, AJ80)</f>
        <v>0</v>
      </c>
      <c r="AL80" s="222">
        <f t="shared" ref="AL80" si="1466">IF(AL79=0,0, AK80)</f>
        <v>0</v>
      </c>
      <c r="AM80" s="222">
        <f t="shared" ref="AM80" si="1467">IF(AM79=0,0, AL80)</f>
        <v>0</v>
      </c>
      <c r="AN80" s="222">
        <f t="shared" ref="AN80" si="1468">IF(AN79=0,0, AM80)</f>
        <v>0</v>
      </c>
      <c r="AO80" s="222">
        <f t="shared" ref="AO80" si="1469">IF(AO79=0,0, AN80)</f>
        <v>0</v>
      </c>
      <c r="AP80" s="222">
        <f t="shared" ref="AP80" si="1470">IF(AP79=0,0, AO80)</f>
        <v>0</v>
      </c>
      <c r="AQ80" s="222">
        <f t="shared" ref="AQ80" si="1471">IF(AQ79=0,0, AP80)</f>
        <v>0</v>
      </c>
      <c r="AR80" s="222">
        <f t="shared" ref="AR80" si="1472">IF(AR79=0,0, AQ80)</f>
        <v>0</v>
      </c>
      <c r="AS80" s="222">
        <f t="shared" ref="AS80" si="1473">IF(AS79=0,0, AR80)</f>
        <v>0</v>
      </c>
      <c r="AT80" s="222">
        <f t="shared" ref="AT80" si="1474">IF(AT79=0,0, AS80)</f>
        <v>0</v>
      </c>
      <c r="AU80" s="222">
        <f t="shared" ref="AU80" si="1475">IF(AU79=0,0, AT80)</f>
        <v>0</v>
      </c>
      <c r="AV80" s="222">
        <f t="shared" ref="AV80" si="1476">IF(AV79=0,0, AU80)</f>
        <v>0</v>
      </c>
      <c r="AW80" s="222">
        <f t="shared" ref="AW80" si="1477">IF(AW79=0,0, AV80)</f>
        <v>0</v>
      </c>
      <c r="AX80" s="222">
        <f t="shared" ref="AX80" si="1478">IF(AX79=0,0, AW80)</f>
        <v>0</v>
      </c>
      <c r="AY80" s="222">
        <f t="shared" ref="AY80" si="1479">IF(AY79=0,0, AX80)</f>
        <v>0</v>
      </c>
      <c r="AZ80" s="222">
        <f t="shared" ref="AZ80" si="1480">IF(AZ79=0,0, AY80)</f>
        <v>0</v>
      </c>
      <c r="BA80" s="222">
        <f t="shared" ref="BA80" si="1481">IF(BA79=0,0, AZ80)</f>
        <v>0</v>
      </c>
      <c r="BB80" s="222">
        <f t="shared" ref="BB80" si="1482">IF(BB79=0,0, BA80)</f>
        <v>0</v>
      </c>
      <c r="BC80" s="222">
        <f t="shared" ref="BC80" si="1483">IF(BC79=0,0, BB80)</f>
        <v>0</v>
      </c>
      <c r="BD80" s="222">
        <f t="shared" ref="BD80" si="1484">IF(BD79=0,0, BC80)</f>
        <v>0</v>
      </c>
      <c r="BE80" s="222">
        <f t="shared" ref="BE80" si="1485">IF(BE79=0,0, BD80)</f>
        <v>0</v>
      </c>
      <c r="BF80" s="222">
        <f t="shared" ref="BF80" si="1486">IF(BF79=0,0, BE80)</f>
        <v>0</v>
      </c>
      <c r="BG80" s="222">
        <f t="shared" ref="BG80" si="1487">IF(BG79=0,0, BF80)</f>
        <v>0</v>
      </c>
      <c r="BH80" s="222">
        <f t="shared" ref="BH80" si="1488">IF(BH79=0,0, BG80)</f>
        <v>0</v>
      </c>
      <c r="BI80" s="222">
        <f t="shared" ref="BI80" si="1489">IF(BI79=0,0, BH80)</f>
        <v>0</v>
      </c>
      <c r="BJ80" s="222">
        <f t="shared" ref="BJ80" si="1490">IF(BJ79=0,0, BI80)</f>
        <v>0</v>
      </c>
      <c r="BK80" s="222">
        <f t="shared" ref="BK80" si="1491">IF(BK79=0,0, BJ80)</f>
        <v>0</v>
      </c>
    </row>
    <row r="81" spans="1:63" ht="7.8" x14ac:dyDescent="0.15">
      <c r="A81" s="218" t="s">
        <v>180</v>
      </c>
      <c r="B81" s="192"/>
      <c r="C81" s="192"/>
      <c r="D81" s="192"/>
      <c r="E81" s="192"/>
      <c r="F81" s="192"/>
      <c r="G81" s="192"/>
      <c r="H81" s="192"/>
      <c r="I81" s="192"/>
      <c r="J81" s="192"/>
      <c r="K81" s="192"/>
      <c r="L81" s="220" cm="1">
        <f t="array" ref="L81">L79*INDEX(LoanCohortRate,$A78)</f>
        <v>0.40625</v>
      </c>
      <c r="M81" s="221" cm="1">
        <f t="array" ref="M81">M79*INDEX(LoanCohortRate,$A78)</f>
        <v>0.38693046365788225</v>
      </c>
      <c r="N81" s="221" cm="1">
        <f t="array" ref="N81">N79*INDEX(LoanCohortRate,$A78)</f>
        <v>0.36729698485020507</v>
      </c>
      <c r="O81" s="221" cm="1">
        <f t="array" ref="O81">O79*INDEX(LoanCohortRate,$A78)</f>
        <v>0.34734446201190311</v>
      </c>
      <c r="P81" s="221" cm="1">
        <f t="array" ref="P81">P79*INDEX(LoanCohortRate,$A78)</f>
        <v>0.3270677106774787</v>
      </c>
      <c r="Q81" s="221" cm="1">
        <f t="array" ref="Q81">Q79*INDEX(LoanCohortRate,$A78)</f>
        <v>0.30646146213386999</v>
      </c>
      <c r="R81" s="221" cm="1">
        <f t="array" ref="R81">R79*INDEX(LoanCohortRate,$A78)</f>
        <v>0.28552036205142756</v>
      </c>
      <c r="S81" s="221" cm="1">
        <f t="array" ref="S81">S79*INDEX(LoanCohortRate,$A78)</f>
        <v>0.26423896909264544</v>
      </c>
      <c r="T81" s="221" cm="1">
        <f t="array" ref="T81">T79*INDEX(LoanCohortRate,$A78)</f>
        <v>0.24261175349828315</v>
      </c>
      <c r="U81" s="221" cm="1">
        <f t="array" ref="U81">U79*INDEX(LoanCohortRate,$A78)</f>
        <v>0.22063309565051248</v>
      </c>
      <c r="V81" s="221" cm="1">
        <f t="array" ref="V81">V79*INDEX(LoanCohortRate,$A78)</f>
        <v>0.19829728461271551</v>
      </c>
      <c r="W81" s="221" cm="1">
        <f t="array" ref="W81">W79*INDEX(LoanCohortRate,$A78)</f>
        <v>0.17559851664555434</v>
      </c>
      <c r="X81" s="221" cm="1">
        <f t="array" ref="X81">X79*INDEX(LoanCohortRate,$A78)</f>
        <v>0.15253089369892683</v>
      </c>
      <c r="Y81" s="221" cm="1">
        <f t="array" ref="Y81">Y79*INDEX(LoanCohortRate,$A78)</f>
        <v>0.1290884218794166</v>
      </c>
      <c r="Z81" s="221" cm="1">
        <f t="array" ref="Z81">Z79*INDEX(LoanCohortRate,$A78)</f>
        <v>0.10526500989283934</v>
      </c>
      <c r="AA81" s="221" cm="1">
        <f t="array" ref="AA81">AA79*INDEX(LoanCohortRate,$A78)</f>
        <v>8.1054467461480192E-2</v>
      </c>
      <c r="AB81" s="221" cm="1">
        <f t="array" ref="AB81">AB79*INDEX(LoanCohortRate,$A78)</f>
        <v>5.6450503715611465E-2</v>
      </c>
      <c r="AC81" s="221" cm="1">
        <f t="array" ref="AC81">AC79*INDEX(LoanCohortRate,$A78)</f>
        <v>3.1446725558872367E-2</v>
      </c>
      <c r="AD81" s="221" cm="1">
        <f t="array" ref="AD81">AD79*INDEX(LoanCohortRate,$A78)</f>
        <v>6.0366360070862584E-3</v>
      </c>
      <c r="AE81" s="221" cm="1">
        <f t="array" ref="AE81">AE79*INDEX(LoanCohortRate,$A78)</f>
        <v>0</v>
      </c>
      <c r="AF81" s="221" cm="1">
        <f t="array" ref="AF81">AF79*INDEX(LoanCohortRate,$A78)</f>
        <v>0</v>
      </c>
      <c r="AG81" s="221" cm="1">
        <f t="array" ref="AG81">AG79*INDEX(LoanCohortRate,$A78)</f>
        <v>0</v>
      </c>
      <c r="AH81" s="221" cm="1">
        <f t="array" ref="AH81">AH79*INDEX(LoanCohortRate,$A78)</f>
        <v>0</v>
      </c>
      <c r="AI81" s="221" cm="1">
        <f t="array" ref="AI81">AI79*INDEX(LoanCohortRate,$A78)</f>
        <v>0</v>
      </c>
      <c r="AJ81" s="221" cm="1">
        <f t="array" ref="AJ81">AJ79*INDEX(LoanCohortRate,$A78)</f>
        <v>0</v>
      </c>
      <c r="AK81" s="221" cm="1">
        <f t="array" ref="AK81">AK79*INDEX(LoanCohortRate,$A78)</f>
        <v>0</v>
      </c>
      <c r="AL81" s="221" cm="1">
        <f t="array" ref="AL81">AL79*INDEX(LoanCohortRate,$A78)</f>
        <v>0</v>
      </c>
      <c r="AM81" s="221" cm="1">
        <f t="array" ref="AM81">AM79*INDEX(LoanCohortRate,$A78)</f>
        <v>0</v>
      </c>
      <c r="AN81" s="221" cm="1">
        <f t="array" ref="AN81">AN79*INDEX(LoanCohortRate,$A78)</f>
        <v>0</v>
      </c>
      <c r="AO81" s="221" cm="1">
        <f t="array" ref="AO81">AO79*INDEX(LoanCohortRate,$A78)</f>
        <v>0</v>
      </c>
      <c r="AP81" s="221" cm="1">
        <f t="array" ref="AP81">AP79*INDEX(LoanCohortRate,$A78)</f>
        <v>0</v>
      </c>
      <c r="AQ81" s="221" cm="1">
        <f t="array" ref="AQ81">AQ79*INDEX(LoanCohortRate,$A78)</f>
        <v>0</v>
      </c>
      <c r="AR81" s="221" cm="1">
        <f t="array" ref="AR81">AR79*INDEX(LoanCohortRate,$A78)</f>
        <v>0</v>
      </c>
      <c r="AS81" s="221" cm="1">
        <f t="array" ref="AS81">AS79*INDEX(LoanCohortRate,$A78)</f>
        <v>0</v>
      </c>
      <c r="AT81" s="221" cm="1">
        <f t="array" ref="AT81">AT79*INDEX(LoanCohortRate,$A78)</f>
        <v>0</v>
      </c>
      <c r="AU81" s="221" cm="1">
        <f t="array" ref="AU81">AU79*INDEX(LoanCohortRate,$A78)</f>
        <v>0</v>
      </c>
      <c r="AV81" s="221" cm="1">
        <f t="array" ref="AV81">AV79*INDEX(LoanCohortRate,$A78)</f>
        <v>0</v>
      </c>
      <c r="AW81" s="221" cm="1">
        <f t="array" ref="AW81">AW79*INDEX(LoanCohortRate,$A78)</f>
        <v>0</v>
      </c>
      <c r="AX81" s="221" cm="1">
        <f t="array" ref="AX81">AX79*INDEX(LoanCohortRate,$A78)</f>
        <v>0</v>
      </c>
      <c r="AY81" s="221" cm="1">
        <f t="array" ref="AY81">AY79*INDEX(LoanCohortRate,$A78)</f>
        <v>0</v>
      </c>
      <c r="AZ81" s="221" cm="1">
        <f t="array" ref="AZ81">AZ79*INDEX(LoanCohortRate,$A78)</f>
        <v>0</v>
      </c>
      <c r="BA81" s="221" cm="1">
        <f t="array" ref="BA81">BA79*INDEX(LoanCohortRate,$A78)</f>
        <v>0</v>
      </c>
      <c r="BB81" s="221" cm="1">
        <f t="array" ref="BB81">BB79*INDEX(LoanCohortRate,$A78)</f>
        <v>0</v>
      </c>
      <c r="BC81" s="221" cm="1">
        <f t="array" ref="BC81">BC79*INDEX(LoanCohortRate,$A78)</f>
        <v>0</v>
      </c>
      <c r="BD81" s="221" cm="1">
        <f t="array" ref="BD81">BD79*INDEX(LoanCohortRate,$A78)</f>
        <v>0</v>
      </c>
      <c r="BE81" s="221" cm="1">
        <f t="array" ref="BE81">BE79*INDEX(LoanCohortRate,$A78)</f>
        <v>0</v>
      </c>
      <c r="BF81" s="221" cm="1">
        <f t="array" ref="BF81">BF79*INDEX(LoanCohortRate,$A78)</f>
        <v>0</v>
      </c>
      <c r="BG81" s="221" cm="1">
        <f t="array" ref="BG81">BG79*INDEX(LoanCohortRate,$A78)</f>
        <v>0</v>
      </c>
      <c r="BH81" s="221" cm="1">
        <f t="array" ref="BH81">BH79*INDEX(LoanCohortRate,$A78)</f>
        <v>0</v>
      </c>
      <c r="BI81" s="221" cm="1">
        <f t="array" ref="BI81">BI79*INDEX(LoanCohortRate,$A78)</f>
        <v>0</v>
      </c>
      <c r="BJ81" s="221" cm="1">
        <f t="array" ref="BJ81">BJ79*INDEX(LoanCohortRate,$A78)</f>
        <v>0</v>
      </c>
      <c r="BK81" s="221" cm="1">
        <f t="array" ref="BK81">BK79*INDEX(LoanCohortRate,$A78)</f>
        <v>0</v>
      </c>
    </row>
    <row r="82" spans="1:63" ht="7.8" x14ac:dyDescent="0.15">
      <c r="A82" s="218" t="s">
        <v>177</v>
      </c>
      <c r="B82" s="192"/>
      <c r="C82" s="192"/>
      <c r="D82" s="192"/>
      <c r="E82" s="192"/>
      <c r="F82" s="192"/>
      <c r="G82" s="192"/>
      <c r="H82" s="192"/>
      <c r="I82" s="192"/>
      <c r="J82" s="192"/>
      <c r="K82" s="192"/>
      <c r="L82" s="219">
        <f>L80-L81</f>
        <v>1.1888945441303251</v>
      </c>
      <c r="M82" s="222">
        <f t="shared" ref="M82:BK82" si="1492">M80-M81</f>
        <v>1.2082140804724428</v>
      </c>
      <c r="N82" s="222">
        <f t="shared" si="1492"/>
        <v>1.2278475592801201</v>
      </c>
      <c r="O82" s="222">
        <f t="shared" si="1492"/>
        <v>1.2478000821184221</v>
      </c>
      <c r="P82" s="222">
        <f t="shared" si="1492"/>
        <v>1.2680768334528465</v>
      </c>
      <c r="Q82" s="222">
        <f t="shared" si="1492"/>
        <v>1.2886830819964552</v>
      </c>
      <c r="R82" s="222">
        <f t="shared" si="1492"/>
        <v>1.3096241820788976</v>
      </c>
      <c r="S82" s="222">
        <f t="shared" si="1492"/>
        <v>1.3309055750376797</v>
      </c>
      <c r="T82" s="222">
        <f t="shared" si="1492"/>
        <v>1.3525327906320419</v>
      </c>
      <c r="U82" s="222">
        <f t="shared" si="1492"/>
        <v>1.3745114484798127</v>
      </c>
      <c r="V82" s="222">
        <f t="shared" si="1492"/>
        <v>1.3968472595176096</v>
      </c>
      <c r="W82" s="222">
        <f t="shared" si="1492"/>
        <v>1.4195460274847709</v>
      </c>
      <c r="X82" s="222">
        <f t="shared" si="1492"/>
        <v>1.4426136504313982</v>
      </c>
      <c r="Y82" s="222">
        <f t="shared" si="1492"/>
        <v>1.4660561222509085</v>
      </c>
      <c r="Z82" s="222">
        <f t="shared" si="1492"/>
        <v>1.4898795342374858</v>
      </c>
      <c r="AA82" s="222">
        <f t="shared" si="1492"/>
        <v>1.514090076668845</v>
      </c>
      <c r="AB82" s="222">
        <f t="shared" si="1492"/>
        <v>1.5386940404147136</v>
      </c>
      <c r="AC82" s="222">
        <f t="shared" si="1492"/>
        <v>1.5636978185714527</v>
      </c>
      <c r="AD82" s="222">
        <f t="shared" si="1492"/>
        <v>1.5891079081232389</v>
      </c>
      <c r="AE82" s="222">
        <f t="shared" si="1492"/>
        <v>0</v>
      </c>
      <c r="AF82" s="222">
        <f t="shared" si="1492"/>
        <v>0</v>
      </c>
      <c r="AG82" s="222">
        <f t="shared" si="1492"/>
        <v>0</v>
      </c>
      <c r="AH82" s="222">
        <f t="shared" si="1492"/>
        <v>0</v>
      </c>
      <c r="AI82" s="222">
        <f t="shared" si="1492"/>
        <v>0</v>
      </c>
      <c r="AJ82" s="222">
        <f t="shared" si="1492"/>
        <v>0</v>
      </c>
      <c r="AK82" s="222">
        <f t="shared" si="1492"/>
        <v>0</v>
      </c>
      <c r="AL82" s="222">
        <f t="shared" si="1492"/>
        <v>0</v>
      </c>
      <c r="AM82" s="222">
        <f t="shared" si="1492"/>
        <v>0</v>
      </c>
      <c r="AN82" s="222">
        <f t="shared" si="1492"/>
        <v>0</v>
      </c>
      <c r="AO82" s="222">
        <f t="shared" si="1492"/>
        <v>0</v>
      </c>
      <c r="AP82" s="222">
        <f t="shared" si="1492"/>
        <v>0</v>
      </c>
      <c r="AQ82" s="222">
        <f t="shared" si="1492"/>
        <v>0</v>
      </c>
      <c r="AR82" s="222">
        <f t="shared" si="1492"/>
        <v>0</v>
      </c>
      <c r="AS82" s="222">
        <f t="shared" si="1492"/>
        <v>0</v>
      </c>
      <c r="AT82" s="222">
        <f t="shared" si="1492"/>
        <v>0</v>
      </c>
      <c r="AU82" s="222">
        <f t="shared" si="1492"/>
        <v>0</v>
      </c>
      <c r="AV82" s="222">
        <f t="shared" si="1492"/>
        <v>0</v>
      </c>
      <c r="AW82" s="222">
        <f t="shared" si="1492"/>
        <v>0</v>
      </c>
      <c r="AX82" s="222">
        <f t="shared" si="1492"/>
        <v>0</v>
      </c>
      <c r="AY82" s="222">
        <f t="shared" si="1492"/>
        <v>0</v>
      </c>
      <c r="AZ82" s="222">
        <f t="shared" si="1492"/>
        <v>0</v>
      </c>
      <c r="BA82" s="222">
        <f t="shared" si="1492"/>
        <v>0</v>
      </c>
      <c r="BB82" s="222">
        <f t="shared" si="1492"/>
        <v>0</v>
      </c>
      <c r="BC82" s="222">
        <f t="shared" si="1492"/>
        <v>0</v>
      </c>
      <c r="BD82" s="222">
        <f t="shared" si="1492"/>
        <v>0</v>
      </c>
      <c r="BE82" s="222">
        <f t="shared" si="1492"/>
        <v>0</v>
      </c>
      <c r="BF82" s="222">
        <f t="shared" si="1492"/>
        <v>0</v>
      </c>
      <c r="BG82" s="222">
        <f t="shared" si="1492"/>
        <v>0</v>
      </c>
      <c r="BH82" s="222">
        <f t="shared" si="1492"/>
        <v>0</v>
      </c>
      <c r="BI82" s="222">
        <f t="shared" si="1492"/>
        <v>0</v>
      </c>
      <c r="BJ82" s="222">
        <f t="shared" si="1492"/>
        <v>0</v>
      </c>
      <c r="BK82" s="222">
        <f t="shared" si="1492"/>
        <v>0</v>
      </c>
    </row>
    <row r="83" spans="1:63" ht="7.8" x14ac:dyDescent="0.15">
      <c r="A83" s="205" t="s">
        <v>7</v>
      </c>
      <c r="B83" s="192"/>
      <c r="C83" s="192"/>
      <c r="D83" s="192"/>
      <c r="E83" s="192"/>
      <c r="F83" s="192"/>
      <c r="G83" s="192"/>
      <c r="H83" s="192"/>
      <c r="I83" s="192"/>
      <c r="J83" s="192"/>
      <c r="K83" s="192"/>
      <c r="L83" s="214" cm="1">
        <f t="array" ref="L83">INDEX(LoanOriginations,$A78)</f>
        <v>104.0707043925437</v>
      </c>
      <c r="M83" s="199">
        <f t="shared" ref="M83:AR83" si="1493">L83*(1-MitigateDelinquency*MitigateChargeoff)  *  IF(M78=0,0,IF(M78-102=LoanSaleHeld,0.6,1))</f>
        <v>103.96663368815116</v>
      </c>
      <c r="N83" s="199">
        <f t="shared" si="1493"/>
        <v>103.86266705446302</v>
      </c>
      <c r="O83" s="199">
        <f t="shared" si="1493"/>
        <v>103.75880438740856</v>
      </c>
      <c r="P83" s="199">
        <f t="shared" si="1493"/>
        <v>62.193027349812688</v>
      </c>
      <c r="Q83" s="199">
        <f t="shared" si="1493"/>
        <v>62.130834322462874</v>
      </c>
      <c r="R83" s="199">
        <f t="shared" si="1493"/>
        <v>62.068703488140414</v>
      </c>
      <c r="S83" s="199">
        <f t="shared" si="1493"/>
        <v>62.006634784652277</v>
      </c>
      <c r="T83" s="199">
        <f t="shared" si="1493"/>
        <v>61.944628149867626</v>
      </c>
      <c r="U83" s="199">
        <f t="shared" si="1493"/>
        <v>61.882683521717759</v>
      </c>
      <c r="V83" s="199">
        <f t="shared" si="1493"/>
        <v>61.820800838196043</v>
      </c>
      <c r="W83" s="199">
        <f t="shared" si="1493"/>
        <v>61.758980037357844</v>
      </c>
      <c r="X83" s="199">
        <f t="shared" si="1493"/>
        <v>61.697221057320483</v>
      </c>
      <c r="Y83" s="199">
        <f t="shared" si="1493"/>
        <v>61.635523836263161</v>
      </c>
      <c r="Z83" s="199">
        <f t="shared" si="1493"/>
        <v>61.573888312426895</v>
      </c>
      <c r="AA83" s="199">
        <f t="shared" si="1493"/>
        <v>61.512314424114471</v>
      </c>
      <c r="AB83" s="199">
        <f t="shared" si="1493"/>
        <v>61.450802109690358</v>
      </c>
      <c r="AC83" s="199">
        <f t="shared" si="1493"/>
        <v>61.389351307580668</v>
      </c>
      <c r="AD83" s="199">
        <f t="shared" si="1493"/>
        <v>61.327961956273086</v>
      </c>
      <c r="AE83" s="199">
        <f t="shared" si="1493"/>
        <v>0</v>
      </c>
      <c r="AF83" s="199">
        <f t="shared" si="1493"/>
        <v>0</v>
      </c>
      <c r="AG83" s="199">
        <f t="shared" si="1493"/>
        <v>0</v>
      </c>
      <c r="AH83" s="199">
        <f t="shared" si="1493"/>
        <v>0</v>
      </c>
      <c r="AI83" s="199">
        <f t="shared" si="1493"/>
        <v>0</v>
      </c>
      <c r="AJ83" s="199">
        <f t="shared" si="1493"/>
        <v>0</v>
      </c>
      <c r="AK83" s="199">
        <f t="shared" si="1493"/>
        <v>0</v>
      </c>
      <c r="AL83" s="199">
        <f t="shared" si="1493"/>
        <v>0</v>
      </c>
      <c r="AM83" s="199">
        <f t="shared" si="1493"/>
        <v>0</v>
      </c>
      <c r="AN83" s="199">
        <f t="shared" si="1493"/>
        <v>0</v>
      </c>
      <c r="AO83" s="199">
        <f t="shared" si="1493"/>
        <v>0</v>
      </c>
      <c r="AP83" s="199">
        <f t="shared" si="1493"/>
        <v>0</v>
      </c>
      <c r="AQ83" s="199">
        <f t="shared" si="1493"/>
        <v>0</v>
      </c>
      <c r="AR83" s="199">
        <f t="shared" si="1493"/>
        <v>0</v>
      </c>
      <c r="AS83" s="199">
        <f t="shared" ref="AS83:BK83" si="1494">AR83*(1-MitigateDelinquency*MitigateChargeoff)  *  IF(AS78=0,0,IF(AS78-102=LoanSaleHeld,0.6,1))</f>
        <v>0</v>
      </c>
      <c r="AT83" s="199">
        <f t="shared" si="1494"/>
        <v>0</v>
      </c>
      <c r="AU83" s="199">
        <f t="shared" si="1494"/>
        <v>0</v>
      </c>
      <c r="AV83" s="199">
        <f t="shared" si="1494"/>
        <v>0</v>
      </c>
      <c r="AW83" s="199">
        <f t="shared" si="1494"/>
        <v>0</v>
      </c>
      <c r="AX83" s="199">
        <f t="shared" si="1494"/>
        <v>0</v>
      </c>
      <c r="AY83" s="199">
        <f t="shared" si="1494"/>
        <v>0</v>
      </c>
      <c r="AZ83" s="199">
        <f t="shared" si="1494"/>
        <v>0</v>
      </c>
      <c r="BA83" s="199">
        <f t="shared" si="1494"/>
        <v>0</v>
      </c>
      <c r="BB83" s="199">
        <f t="shared" si="1494"/>
        <v>0</v>
      </c>
      <c r="BC83" s="199">
        <f t="shared" si="1494"/>
        <v>0</v>
      </c>
      <c r="BD83" s="199">
        <f t="shared" si="1494"/>
        <v>0</v>
      </c>
      <c r="BE83" s="199">
        <f t="shared" si="1494"/>
        <v>0</v>
      </c>
      <c r="BF83" s="199">
        <f t="shared" si="1494"/>
        <v>0</v>
      </c>
      <c r="BG83" s="199">
        <f t="shared" si="1494"/>
        <v>0</v>
      </c>
      <c r="BH83" s="199">
        <f t="shared" si="1494"/>
        <v>0</v>
      </c>
      <c r="BI83" s="199">
        <f t="shared" si="1494"/>
        <v>0</v>
      </c>
      <c r="BJ83" s="199">
        <f t="shared" si="1494"/>
        <v>0</v>
      </c>
      <c r="BK83" s="199">
        <f t="shared" si="1494"/>
        <v>0</v>
      </c>
    </row>
    <row r="84" spans="1:63" ht="7.8" x14ac:dyDescent="0.15">
      <c r="A84" s="207" t="s">
        <v>96</v>
      </c>
      <c r="B84" s="192"/>
      <c r="C84" s="192"/>
      <c r="D84" s="192"/>
      <c r="E84" s="192"/>
      <c r="F84" s="192"/>
      <c r="G84" s="192"/>
      <c r="H84" s="192"/>
      <c r="I84" s="192"/>
      <c r="J84" s="192"/>
      <c r="K84" s="192"/>
      <c r="L84" s="223">
        <f>L81*L83</f>
        <v>42.278723659470877</v>
      </c>
      <c r="M84" s="200">
        <f t="shared" ref="M84" si="1495">M81*M83</f>
        <v>40.227857777905527</v>
      </c>
      <c r="N84" s="200">
        <f t="shared" ref="N84" si="1496">N81*N83</f>
        <v>38.148444447604994</v>
      </c>
      <c r="O84" s="200">
        <f t="shared" ref="O84" si="1497">O81*O83</f>
        <v>36.040046088942717</v>
      </c>
      <c r="P84" s="200">
        <f t="shared" ref="P84" si="1498">P81*P83</f>
        <v>20.341331075405055</v>
      </c>
      <c r="Q84" s="200">
        <f t="shared" ref="Q84" si="1499">Q81*Q83</f>
        <v>19.040706330059205</v>
      </c>
      <c r="R84" s="200">
        <f t="shared" ref="R84" si="1500">R81*R83</f>
        <v>17.721878691996555</v>
      </c>
      <c r="S84" s="200">
        <f t="shared" ref="S84" si="1501">S81*S83</f>
        <v>16.384569252400688</v>
      </c>
      <c r="T84" s="200">
        <f t="shared" ref="T84" si="1502">T81*T83</f>
        <v>15.028494855238495</v>
      </c>
      <c r="U84" s="200">
        <f t="shared" ref="U84" si="1503">U81*U83</f>
        <v>13.653368032557546</v>
      </c>
      <c r="V84" s="200">
        <f t="shared" ref="V84" si="1504">V81*V83</f>
        <v>12.258896938797761</v>
      </c>
      <c r="W84" s="200">
        <f t="shared" ref="W84" si="1505">W81*W83</f>
        <v>10.844785284102439</v>
      </c>
      <c r="X84" s="200">
        <f t="shared" ref="X84" si="1506">X81*X83</f>
        <v>9.4107322666133406</v>
      </c>
      <c r="Y84" s="200">
        <f t="shared" ref="Y84" si="1507">Y81*Y83</f>
        <v>7.9564325037343773</v>
      </c>
      <c r="Z84" s="200">
        <f t="shared" ref="Z84" si="1508">Z81*Z83</f>
        <v>6.4815759623482014</v>
      </c>
      <c r="AA84" s="200">
        <f t="shared" ref="AA84" si="1509">AA81*AA83</f>
        <v>4.985847887969725</v>
      </c>
      <c r="AB84" s="200">
        <f t="shared" ref="AB84" si="1510">AB81*AB83</f>
        <v>3.4689287328203804</v>
      </c>
      <c r="AC84" s="200">
        <f t="shared" ref="AC84" si="1511">AC81*AC83</f>
        <v>1.9304940828066917</v>
      </c>
      <c r="AD84" s="200">
        <f t="shared" ref="AD84" si="1512">AD81*AD83</f>
        <v>0.3702145833864543</v>
      </c>
      <c r="AE84" s="200">
        <f t="shared" ref="AE84" si="1513">AE81*AE83</f>
        <v>0</v>
      </c>
      <c r="AF84" s="200">
        <f t="shared" ref="AF84" si="1514">AF81*AF83</f>
        <v>0</v>
      </c>
      <c r="AG84" s="200">
        <f t="shared" ref="AG84" si="1515">AG81*AG83</f>
        <v>0</v>
      </c>
      <c r="AH84" s="200">
        <f t="shared" ref="AH84" si="1516">AH81*AH83</f>
        <v>0</v>
      </c>
      <c r="AI84" s="200">
        <f t="shared" ref="AI84" si="1517">AI81*AI83</f>
        <v>0</v>
      </c>
      <c r="AJ84" s="200">
        <f t="shared" ref="AJ84" si="1518">AJ81*AJ83</f>
        <v>0</v>
      </c>
      <c r="AK84" s="200">
        <f t="shared" ref="AK84" si="1519">AK81*AK83</f>
        <v>0</v>
      </c>
      <c r="AL84" s="200">
        <f t="shared" ref="AL84" si="1520">AL81*AL83</f>
        <v>0</v>
      </c>
      <c r="AM84" s="200">
        <f t="shared" ref="AM84" si="1521">AM81*AM83</f>
        <v>0</v>
      </c>
      <c r="AN84" s="200">
        <f t="shared" ref="AN84" si="1522">AN81*AN83</f>
        <v>0</v>
      </c>
      <c r="AO84" s="200">
        <f t="shared" ref="AO84" si="1523">AO81*AO83</f>
        <v>0</v>
      </c>
      <c r="AP84" s="200">
        <f t="shared" ref="AP84" si="1524">AP81*AP83</f>
        <v>0</v>
      </c>
      <c r="AQ84" s="200">
        <f t="shared" ref="AQ84" si="1525">AQ81*AQ83</f>
        <v>0</v>
      </c>
      <c r="AR84" s="200">
        <f t="shared" ref="AR84" si="1526">AR81*AR83</f>
        <v>0</v>
      </c>
      <c r="AS84" s="200">
        <f t="shared" ref="AS84" si="1527">AS81*AS83</f>
        <v>0</v>
      </c>
      <c r="AT84" s="200">
        <f t="shared" ref="AT84" si="1528">AT81*AT83</f>
        <v>0</v>
      </c>
      <c r="AU84" s="200">
        <f t="shared" ref="AU84" si="1529">AU81*AU83</f>
        <v>0</v>
      </c>
      <c r="AV84" s="200">
        <f t="shared" ref="AV84" si="1530">AV81*AV83</f>
        <v>0</v>
      </c>
      <c r="AW84" s="200">
        <f t="shared" ref="AW84" si="1531">AW81*AW83</f>
        <v>0</v>
      </c>
      <c r="AX84" s="200">
        <f t="shared" ref="AX84" si="1532">AX81*AX83</f>
        <v>0</v>
      </c>
      <c r="AY84" s="200">
        <f t="shared" ref="AY84" si="1533">AY81*AY83</f>
        <v>0</v>
      </c>
      <c r="AZ84" s="200">
        <f t="shared" ref="AZ84" si="1534">AZ81*AZ83</f>
        <v>0</v>
      </c>
      <c r="BA84" s="200">
        <f t="shared" ref="BA84" si="1535">BA81*BA83</f>
        <v>0</v>
      </c>
      <c r="BB84" s="200">
        <f t="shared" ref="BB84" si="1536">BB81*BB83</f>
        <v>0</v>
      </c>
      <c r="BC84" s="200">
        <f t="shared" ref="BC84" si="1537">BC81*BC83</f>
        <v>0</v>
      </c>
      <c r="BD84" s="200">
        <f t="shared" ref="BD84" si="1538">BD81*BD83</f>
        <v>0</v>
      </c>
      <c r="BE84" s="200">
        <f t="shared" ref="BE84" si="1539">BE81*BE83</f>
        <v>0</v>
      </c>
      <c r="BF84" s="200">
        <f t="shared" ref="BF84" si="1540">BF81*BF83</f>
        <v>0</v>
      </c>
      <c r="BG84" s="200">
        <f t="shared" ref="BG84" si="1541">BG81*BG83</f>
        <v>0</v>
      </c>
      <c r="BH84" s="200">
        <f t="shared" ref="BH84" si="1542">BH81*BH83</f>
        <v>0</v>
      </c>
      <c r="BI84" s="200">
        <f t="shared" ref="BI84" si="1543">BI81*BI83</f>
        <v>0</v>
      </c>
      <c r="BJ84" s="200">
        <f t="shared" ref="BJ84" si="1544">BJ81*BJ83</f>
        <v>0</v>
      </c>
      <c r="BK84" s="200">
        <f t="shared" ref="BK84" si="1545">BK81*BK83</f>
        <v>0</v>
      </c>
    </row>
    <row r="85" spans="1:63" ht="7.8" x14ac:dyDescent="0.15">
      <c r="A85" s="206" t="s">
        <v>97</v>
      </c>
      <c r="B85" s="192"/>
      <c r="C85" s="192"/>
      <c r="D85" s="192"/>
      <c r="E85" s="192"/>
      <c r="F85" s="192"/>
      <c r="G85" s="192"/>
      <c r="H85" s="192"/>
      <c r="I85" s="192"/>
      <c r="J85" s="192"/>
      <c r="K85" s="192"/>
      <c r="L85" s="223">
        <f>L82*L83</f>
        <v>123.72909265609508</v>
      </c>
      <c r="M85" s="200">
        <f>M82*M83</f>
        <v>125.61395072134485</v>
      </c>
      <c r="N85" s="200">
        <f t="shared" ref="N85:BK85" si="1546">N82*N83</f>
        <v>127.52752224314617</v>
      </c>
      <c r="O85" s="200">
        <f t="shared" si="1546"/>
        <v>129.47024463511769</v>
      </c>
      <c r="P85" s="200">
        <f t="shared" si="1546"/>
        <v>78.865537184596747</v>
      </c>
      <c r="Q85" s="200">
        <f t="shared" si="1546"/>
        <v>80.066955061682592</v>
      </c>
      <c r="R85" s="200">
        <f t="shared" si="1546"/>
        <v>81.286675038353508</v>
      </c>
      <c r="S85" s="200">
        <f t="shared" si="1546"/>
        <v>82.524975924219035</v>
      </c>
      <c r="T85" s="200">
        <f t="shared" si="1546"/>
        <v>83.782140776204599</v>
      </c>
      <c r="U85" s="200">
        <f t="shared" si="1546"/>
        <v>85.058456963254116</v>
      </c>
      <c r="V85" s="200">
        <f t="shared" si="1546"/>
        <v>86.354216232018089</v>
      </c>
      <c r="W85" s="200">
        <f t="shared" si="1546"/>
        <v>87.669714773542594</v>
      </c>
      <c r="X85" s="200">
        <f t="shared" si="1546"/>
        <v>89.005253290974039</v>
      </c>
      <c r="Y85" s="200">
        <f t="shared" si="1546"/>
        <v>90.361137068295406</v>
      </c>
      <c r="Z85" s="200">
        <f t="shared" si="1546"/>
        <v>91.737676040109548</v>
      </c>
      <c r="AA85" s="200">
        <f t="shared" si="1546"/>
        <v>93.135184862485573</v>
      </c>
      <c r="AB85" s="200">
        <f t="shared" si="1546"/>
        <v>94.553982984884456</v>
      </c>
      <c r="AC85" s="200">
        <f t="shared" si="1546"/>
        <v>95.994394723180449</v>
      </c>
      <c r="AD85" s="200">
        <f t="shared" si="1546"/>
        <v>97.456749333794704</v>
      </c>
      <c r="AE85" s="200">
        <f t="shared" si="1546"/>
        <v>0</v>
      </c>
      <c r="AF85" s="200">
        <f t="shared" si="1546"/>
        <v>0</v>
      </c>
      <c r="AG85" s="200">
        <f t="shared" si="1546"/>
        <v>0</v>
      </c>
      <c r="AH85" s="200">
        <f t="shared" si="1546"/>
        <v>0</v>
      </c>
      <c r="AI85" s="200">
        <f t="shared" si="1546"/>
        <v>0</v>
      </c>
      <c r="AJ85" s="200">
        <f t="shared" si="1546"/>
        <v>0</v>
      </c>
      <c r="AK85" s="200">
        <f t="shared" si="1546"/>
        <v>0</v>
      </c>
      <c r="AL85" s="200">
        <f t="shared" si="1546"/>
        <v>0</v>
      </c>
      <c r="AM85" s="200">
        <f t="shared" si="1546"/>
        <v>0</v>
      </c>
      <c r="AN85" s="200">
        <f t="shared" si="1546"/>
        <v>0</v>
      </c>
      <c r="AO85" s="200">
        <f t="shared" si="1546"/>
        <v>0</v>
      </c>
      <c r="AP85" s="200">
        <f t="shared" si="1546"/>
        <v>0</v>
      </c>
      <c r="AQ85" s="200">
        <f t="shared" si="1546"/>
        <v>0</v>
      </c>
      <c r="AR85" s="200">
        <f t="shared" si="1546"/>
        <v>0</v>
      </c>
      <c r="AS85" s="200">
        <f t="shared" si="1546"/>
        <v>0</v>
      </c>
      <c r="AT85" s="200">
        <f t="shared" si="1546"/>
        <v>0</v>
      </c>
      <c r="AU85" s="200">
        <f t="shared" si="1546"/>
        <v>0</v>
      </c>
      <c r="AV85" s="200">
        <f t="shared" si="1546"/>
        <v>0</v>
      </c>
      <c r="AW85" s="200">
        <f t="shared" si="1546"/>
        <v>0</v>
      </c>
      <c r="AX85" s="200">
        <f t="shared" si="1546"/>
        <v>0</v>
      </c>
      <c r="AY85" s="200">
        <f t="shared" si="1546"/>
        <v>0</v>
      </c>
      <c r="AZ85" s="200">
        <f t="shared" si="1546"/>
        <v>0</v>
      </c>
      <c r="BA85" s="200">
        <f t="shared" si="1546"/>
        <v>0</v>
      </c>
      <c r="BB85" s="200">
        <f t="shared" si="1546"/>
        <v>0</v>
      </c>
      <c r="BC85" s="200">
        <f t="shared" si="1546"/>
        <v>0</v>
      </c>
      <c r="BD85" s="200">
        <f t="shared" si="1546"/>
        <v>0</v>
      </c>
      <c r="BE85" s="200">
        <f t="shared" si="1546"/>
        <v>0</v>
      </c>
      <c r="BF85" s="200">
        <f t="shared" si="1546"/>
        <v>0</v>
      </c>
      <c r="BG85" s="200">
        <f t="shared" si="1546"/>
        <v>0</v>
      </c>
      <c r="BH85" s="200">
        <f t="shared" si="1546"/>
        <v>0</v>
      </c>
      <c r="BI85" s="200">
        <f t="shared" si="1546"/>
        <v>0</v>
      </c>
      <c r="BJ85" s="200">
        <f t="shared" si="1546"/>
        <v>0</v>
      </c>
      <c r="BK85" s="200">
        <f t="shared" si="1546"/>
        <v>0</v>
      </c>
    </row>
    <row r="86" spans="1:63" ht="7.8" x14ac:dyDescent="0.15">
      <c r="A86" s="208" t="s">
        <v>203</v>
      </c>
      <c r="B86" s="192"/>
      <c r="C86" s="192"/>
      <c r="D86" s="192"/>
      <c r="E86" s="192"/>
      <c r="F86" s="192"/>
      <c r="G86" s="192"/>
      <c r="H86" s="192"/>
      <c r="I86" s="192"/>
      <c r="J86" s="192"/>
      <c r="K86" s="192"/>
      <c r="L86" s="224">
        <f>IF(L78-101&lt;&gt;LoanSaleHeld,0,SUM($D85:L85)*LoanSalePercent)</f>
        <v>0</v>
      </c>
      <c r="M86" s="225">
        <f>IF(M78-101&lt;&gt;LoanSaleHeld,0,SUM($D85:M85)*LoanSalePercent)</f>
        <v>0</v>
      </c>
      <c r="N86" s="225">
        <f>IF(N78-101&lt;&gt;LoanSaleHeld,0,SUM($D85:N85)*LoanSalePercent)</f>
        <v>0</v>
      </c>
      <c r="O86" s="225">
        <f>IF(O78-101&lt;&gt;LoanSaleHeld,0,SUM($D85:O85)*LoanSalePercent)</f>
        <v>202.53632410228153</v>
      </c>
      <c r="P86" s="225">
        <f>IF(P78-101&lt;&gt;LoanSaleHeld,0,SUM($D85:P85)*LoanSalePercent)</f>
        <v>0</v>
      </c>
      <c r="Q86" s="225">
        <f>IF(Q78-101&lt;&gt;LoanSaleHeld,0,SUM($D85:Q85)*LoanSalePercent)</f>
        <v>0</v>
      </c>
      <c r="R86" s="225">
        <f>IF(R78-101&lt;&gt;LoanSaleHeld,0,SUM($D85:R85)*LoanSalePercent)</f>
        <v>0</v>
      </c>
      <c r="S86" s="225">
        <f>IF(S78-101&lt;&gt;LoanSaleHeld,0,SUM($D85:S85)*LoanSalePercent)</f>
        <v>0</v>
      </c>
      <c r="T86" s="225">
        <f>IF(T78-101&lt;&gt;LoanSaleHeld,0,SUM($D85:T85)*LoanSalePercent)</f>
        <v>0</v>
      </c>
      <c r="U86" s="225">
        <f>IF(U78-101&lt;&gt;LoanSaleHeld,0,SUM($D85:U85)*LoanSalePercent)</f>
        <v>0</v>
      </c>
      <c r="V86" s="225">
        <f>IF(V78-101&lt;&gt;LoanSaleHeld,0,SUM($D85:V85)*LoanSalePercent)</f>
        <v>0</v>
      </c>
      <c r="W86" s="225">
        <f>IF(W78-101&lt;&gt;LoanSaleHeld,0,SUM($D85:W85)*LoanSalePercent)</f>
        <v>0</v>
      </c>
      <c r="X86" s="225">
        <f>IF(X78-101&lt;&gt;LoanSaleHeld,0,SUM($D85:X85)*LoanSalePercent)</f>
        <v>0</v>
      </c>
      <c r="Y86" s="225">
        <f>IF(Y78-101&lt;&gt;LoanSaleHeld,0,SUM($D85:Y85)*LoanSalePercent)</f>
        <v>0</v>
      </c>
      <c r="Z86" s="225">
        <f>IF(Z78-101&lt;&gt;LoanSaleHeld,0,SUM($D85:Z85)*LoanSalePercent)</f>
        <v>0</v>
      </c>
      <c r="AA86" s="225">
        <f>IF(AA78-101&lt;&gt;LoanSaleHeld,0,SUM($D85:AA85)*LoanSalePercent)</f>
        <v>0</v>
      </c>
      <c r="AB86" s="225">
        <f>IF(AB78-101&lt;&gt;LoanSaleHeld,0,SUM($D85:AB85)*LoanSalePercent)</f>
        <v>0</v>
      </c>
      <c r="AC86" s="225">
        <f>IF(AC78-101&lt;&gt;LoanSaleHeld,0,SUM($D85:AC85)*LoanSalePercent)</f>
        <v>0</v>
      </c>
      <c r="AD86" s="225">
        <f>IF(AD78-101&lt;&gt;LoanSaleHeld,0,SUM($D85:AD85)*LoanSalePercent)</f>
        <v>0</v>
      </c>
      <c r="AE86" s="225">
        <f>IF(AE78-101&lt;&gt;LoanSaleHeld,0,SUM($D85:AE85)*LoanSalePercent)</f>
        <v>0</v>
      </c>
      <c r="AF86" s="225">
        <f>IF(AF78-101&lt;&gt;LoanSaleHeld,0,SUM($D85:AF85)*LoanSalePercent)</f>
        <v>0</v>
      </c>
      <c r="AG86" s="225">
        <f>IF(AG78-101&lt;&gt;LoanSaleHeld,0,SUM($D85:AG85)*LoanSalePercent)</f>
        <v>0</v>
      </c>
      <c r="AH86" s="225">
        <f>IF(AH78-101&lt;&gt;LoanSaleHeld,0,SUM($D85:AH85)*LoanSalePercent)</f>
        <v>0</v>
      </c>
      <c r="AI86" s="225">
        <f>IF(AI78-101&lt;&gt;LoanSaleHeld,0,SUM($D85:AI85)*LoanSalePercent)</f>
        <v>0</v>
      </c>
      <c r="AJ86" s="225">
        <f>IF(AJ78-101&lt;&gt;LoanSaleHeld,0,SUM($D85:AJ85)*LoanSalePercent)</f>
        <v>0</v>
      </c>
      <c r="AK86" s="225">
        <f>IF(AK78-101&lt;&gt;LoanSaleHeld,0,SUM($D85:AK85)*LoanSalePercent)</f>
        <v>0</v>
      </c>
      <c r="AL86" s="225">
        <f>IF(AL78-101&lt;&gt;LoanSaleHeld,0,SUM($D85:AL85)*LoanSalePercent)</f>
        <v>0</v>
      </c>
      <c r="AM86" s="225">
        <f>IF(AM78-101&lt;&gt;LoanSaleHeld,0,SUM($D85:AM85)*LoanSalePercent)</f>
        <v>0</v>
      </c>
      <c r="AN86" s="225">
        <f>IF(AN78-101&lt;&gt;LoanSaleHeld,0,SUM($D85:AN85)*LoanSalePercent)</f>
        <v>0</v>
      </c>
      <c r="AO86" s="225">
        <f>IF(AO78-101&lt;&gt;LoanSaleHeld,0,SUM($D85:AO85)*LoanSalePercent)</f>
        <v>0</v>
      </c>
      <c r="AP86" s="225">
        <f>IF(AP78-101&lt;&gt;LoanSaleHeld,0,SUM($D85:AP85)*LoanSalePercent)</f>
        <v>0</v>
      </c>
      <c r="AQ86" s="225">
        <f>IF(AQ78-101&lt;&gt;LoanSaleHeld,0,SUM($D85:AQ85)*LoanSalePercent)</f>
        <v>0</v>
      </c>
      <c r="AR86" s="225">
        <f>IF(AR78-101&lt;&gt;LoanSaleHeld,0,SUM($D85:AR85)*LoanSalePercent)</f>
        <v>0</v>
      </c>
      <c r="AS86" s="225">
        <f>IF(AS78-101&lt;&gt;LoanSaleHeld,0,SUM($D85:AS85)*LoanSalePercent)</f>
        <v>0</v>
      </c>
      <c r="AT86" s="225">
        <f>IF(AT78-101&lt;&gt;LoanSaleHeld,0,SUM($D85:AT85)*LoanSalePercent)</f>
        <v>0</v>
      </c>
      <c r="AU86" s="225">
        <f>IF(AU78-101&lt;&gt;LoanSaleHeld,0,SUM($D85:AU85)*LoanSalePercent)</f>
        <v>0</v>
      </c>
      <c r="AV86" s="225">
        <f>IF(AV78-101&lt;&gt;LoanSaleHeld,0,SUM($D85:AV85)*LoanSalePercent)</f>
        <v>0</v>
      </c>
      <c r="AW86" s="225">
        <f>IF(AW78-101&lt;&gt;LoanSaleHeld,0,SUM($D85:AW85)*LoanSalePercent)</f>
        <v>0</v>
      </c>
      <c r="AX86" s="225">
        <f>IF(AX78-101&lt;&gt;LoanSaleHeld,0,SUM($D85:AX85)*LoanSalePercent)</f>
        <v>0</v>
      </c>
      <c r="AY86" s="225">
        <f>IF(AY78-101&lt;&gt;LoanSaleHeld,0,SUM($D85:AY85)*LoanSalePercent)</f>
        <v>0</v>
      </c>
      <c r="AZ86" s="225">
        <f>IF(AZ78-101&lt;&gt;LoanSaleHeld,0,SUM($D85:AZ85)*LoanSalePercent)</f>
        <v>0</v>
      </c>
      <c r="BA86" s="225">
        <f>IF(BA78-101&lt;&gt;LoanSaleHeld,0,SUM($D85:BA85)*LoanSalePercent)</f>
        <v>0</v>
      </c>
      <c r="BB86" s="225">
        <f>IF(BB78-101&lt;&gt;LoanSaleHeld,0,SUM($D85:BB85)*LoanSalePercent)</f>
        <v>0</v>
      </c>
      <c r="BC86" s="225">
        <f>IF(BC78-101&lt;&gt;LoanSaleHeld,0,SUM($D85:BC85)*LoanSalePercent)</f>
        <v>0</v>
      </c>
      <c r="BD86" s="225">
        <f>IF(BD78-101&lt;&gt;LoanSaleHeld,0,SUM($D85:BD85)*LoanSalePercent)</f>
        <v>0</v>
      </c>
      <c r="BE86" s="225">
        <f>IF(BE78-101&lt;&gt;LoanSaleHeld,0,SUM($D85:BE85)*LoanSalePercent)</f>
        <v>0</v>
      </c>
      <c r="BF86" s="225">
        <f>IF(BF78-101&lt;&gt;LoanSaleHeld,0,SUM($D85:BF85)*LoanSalePercent)</f>
        <v>0</v>
      </c>
      <c r="BG86" s="225">
        <f>IF(BG78-101&lt;&gt;LoanSaleHeld,0,SUM($D85:BG85)*LoanSalePercent)</f>
        <v>0</v>
      </c>
      <c r="BH86" s="225">
        <f>IF(BH78-101&lt;&gt;LoanSaleHeld,0,SUM($D85:BH85)*LoanSalePercent)</f>
        <v>0</v>
      </c>
      <c r="BI86" s="225">
        <f>IF(BI78-101&lt;&gt;LoanSaleHeld,0,SUM($D85:BI85)*LoanSalePercent)</f>
        <v>0</v>
      </c>
      <c r="BJ86" s="225">
        <f>IF(BJ78-101&lt;&gt;LoanSaleHeld,0,SUM($D85:BJ85)*LoanSalePercent)</f>
        <v>0</v>
      </c>
      <c r="BK86" s="225">
        <f>IF(BK78-101&lt;&gt;LoanSaleHeld,0,SUM($D85:BK85)*LoanSalePercent)</f>
        <v>0</v>
      </c>
    </row>
    <row r="87" spans="1:63" ht="7.8" x14ac:dyDescent="0.15">
      <c r="A87" s="204">
        <f t="shared" ref="A87" si="1547">A78+1</f>
        <v>10</v>
      </c>
      <c r="B87" s="192"/>
      <c r="C87" s="192"/>
      <c r="D87" s="192"/>
      <c r="E87" s="192"/>
      <c r="F87" s="192"/>
      <c r="G87" s="192"/>
      <c r="H87" s="192"/>
      <c r="I87" s="192"/>
      <c r="J87" s="192"/>
      <c r="K87" s="192"/>
      <c r="L87" s="192"/>
      <c r="M87" s="195">
        <v>101</v>
      </c>
      <c r="N87" s="196">
        <f t="shared" ref="N87" si="1548">IF(N88=0,0,M87+1)</f>
        <v>102</v>
      </c>
      <c r="O87" s="196">
        <f t="shared" ref="O87" si="1549">IF(O88=0,0,N87+1)</f>
        <v>103</v>
      </c>
      <c r="P87" s="196">
        <f t="shared" ref="P87" si="1550">IF(P88=0,0,O87+1)</f>
        <v>104</v>
      </c>
      <c r="Q87" s="196">
        <f t="shared" ref="Q87" si="1551">IF(Q88=0,0,P87+1)</f>
        <v>105</v>
      </c>
      <c r="R87" s="196">
        <f t="shared" ref="R87" si="1552">IF(R88=0,0,Q87+1)</f>
        <v>106</v>
      </c>
      <c r="S87" s="196">
        <f t="shared" ref="S87" si="1553">IF(S88=0,0,R87+1)</f>
        <v>107</v>
      </c>
      <c r="T87" s="196">
        <f t="shared" ref="T87" si="1554">IF(T88=0,0,S87+1)</f>
        <v>108</v>
      </c>
      <c r="U87" s="196">
        <f t="shared" ref="U87" si="1555">IF(U88=0,0,T87+1)</f>
        <v>109</v>
      </c>
      <c r="V87" s="196">
        <f t="shared" ref="V87" si="1556">IF(V88=0,0,U87+1)</f>
        <v>110</v>
      </c>
      <c r="W87" s="196">
        <f t="shared" ref="W87" si="1557">IF(W88=0,0,V87+1)</f>
        <v>111</v>
      </c>
      <c r="X87" s="196">
        <f t="shared" ref="X87" si="1558">IF(X88=0,0,W87+1)</f>
        <v>112</v>
      </c>
      <c r="Y87" s="196">
        <f t="shared" ref="Y87" si="1559">IF(Y88=0,0,X87+1)</f>
        <v>113</v>
      </c>
      <c r="Z87" s="196">
        <f t="shared" ref="Z87" si="1560">IF(Z88=0,0,Y87+1)</f>
        <v>114</v>
      </c>
      <c r="AA87" s="196">
        <f t="shared" ref="AA87" si="1561">IF(AA88=0,0,Z87+1)</f>
        <v>115</v>
      </c>
      <c r="AB87" s="196">
        <f t="shared" ref="AB87" si="1562">IF(AB88=0,0,AA87+1)</f>
        <v>116</v>
      </c>
      <c r="AC87" s="196">
        <f t="shared" ref="AC87" si="1563">IF(AC88=0,0,AB87+1)</f>
        <v>117</v>
      </c>
      <c r="AD87" s="196">
        <f t="shared" ref="AD87" si="1564">IF(AD88=0,0,AC87+1)</f>
        <v>118</v>
      </c>
      <c r="AE87" s="196">
        <f t="shared" ref="AE87" si="1565">IF(AE88=0,0,AD87+1)</f>
        <v>119</v>
      </c>
      <c r="AF87" s="196">
        <f t="shared" ref="AF87" si="1566">IF(AF88=0,0,AE87+1)</f>
        <v>0</v>
      </c>
      <c r="AG87" s="196">
        <f t="shared" ref="AG87" si="1567">IF(AG88=0,0,AF87+1)</f>
        <v>0</v>
      </c>
      <c r="AH87" s="196">
        <f t="shared" ref="AH87" si="1568">IF(AH88=0,0,AG87+1)</f>
        <v>0</v>
      </c>
      <c r="AI87" s="196">
        <f t="shared" ref="AI87" si="1569">IF(AI88=0,0,AH87+1)</f>
        <v>0</v>
      </c>
      <c r="AJ87" s="196">
        <f t="shared" ref="AJ87" si="1570">IF(AJ88=0,0,AI87+1)</f>
        <v>0</v>
      </c>
      <c r="AK87" s="196">
        <f t="shared" ref="AK87" si="1571">IF(AK88=0,0,AJ87+1)</f>
        <v>0</v>
      </c>
      <c r="AL87" s="196">
        <f t="shared" ref="AL87" si="1572">IF(AL88=0,0,AK87+1)</f>
        <v>0</v>
      </c>
      <c r="AM87" s="196">
        <f t="shared" ref="AM87" si="1573">IF(AM88=0,0,AL87+1)</f>
        <v>0</v>
      </c>
      <c r="AN87" s="196">
        <f t="shared" ref="AN87" si="1574">IF(AN88=0,0,AM87+1)</f>
        <v>0</v>
      </c>
      <c r="AO87" s="196">
        <f t="shared" ref="AO87" si="1575">IF(AO88=0,0,AN87+1)</f>
        <v>0</v>
      </c>
      <c r="AP87" s="196">
        <f t="shared" ref="AP87" si="1576">IF(AP88=0,0,AO87+1)</f>
        <v>0</v>
      </c>
      <c r="AQ87" s="196">
        <f t="shared" ref="AQ87" si="1577">IF(AQ88=0,0,AP87+1)</f>
        <v>0</v>
      </c>
      <c r="AR87" s="196">
        <f t="shared" ref="AR87" si="1578">IF(AR88=0,0,AQ87+1)</f>
        <v>0</v>
      </c>
      <c r="AS87" s="196">
        <f t="shared" ref="AS87" si="1579">IF(AS88=0,0,AR87+1)</f>
        <v>0</v>
      </c>
      <c r="AT87" s="196">
        <f t="shared" ref="AT87" si="1580">IF(AT88=0,0,AS87+1)</f>
        <v>0</v>
      </c>
      <c r="AU87" s="196">
        <f t="shared" ref="AU87" si="1581">IF(AU88=0,0,AT87+1)</f>
        <v>0</v>
      </c>
      <c r="AV87" s="196">
        <f t="shared" ref="AV87" si="1582">IF(AV88=0,0,AU87+1)</f>
        <v>0</v>
      </c>
      <c r="AW87" s="196">
        <f t="shared" ref="AW87" si="1583">IF(AW88=0,0,AV87+1)</f>
        <v>0</v>
      </c>
      <c r="AX87" s="196">
        <f t="shared" ref="AX87" si="1584">IF(AX88=0,0,AW87+1)</f>
        <v>0</v>
      </c>
      <c r="AY87" s="196">
        <f t="shared" ref="AY87" si="1585">IF(AY88=0,0,AX87+1)</f>
        <v>0</v>
      </c>
      <c r="AZ87" s="196">
        <f t="shared" ref="AZ87" si="1586">IF(AZ88=0,0,AY87+1)</f>
        <v>0</v>
      </c>
      <c r="BA87" s="196">
        <f t="shared" ref="BA87" si="1587">IF(BA88=0,0,AZ87+1)</f>
        <v>0</v>
      </c>
      <c r="BB87" s="196">
        <f t="shared" ref="BB87" si="1588">IF(BB88=0,0,BA87+1)</f>
        <v>0</v>
      </c>
      <c r="BC87" s="196">
        <f t="shared" ref="BC87" si="1589">IF(BC88=0,0,BB87+1)</f>
        <v>0</v>
      </c>
      <c r="BD87" s="196">
        <f t="shared" ref="BD87" si="1590">IF(BD88=0,0,BC87+1)</f>
        <v>0</v>
      </c>
      <c r="BE87" s="196">
        <f t="shared" ref="BE87" si="1591">IF(BE88=0,0,BD87+1)</f>
        <v>0</v>
      </c>
      <c r="BF87" s="196">
        <f t="shared" ref="BF87" si="1592">IF(BF88=0,0,BE87+1)</f>
        <v>0</v>
      </c>
      <c r="BG87" s="196">
        <f t="shared" ref="BG87" si="1593">IF(BG88=0,0,BF87+1)</f>
        <v>0</v>
      </c>
      <c r="BH87" s="196">
        <f t="shared" ref="BH87" si="1594">IF(BH88=0,0,BG87+1)</f>
        <v>0</v>
      </c>
      <c r="BI87" s="196">
        <f t="shared" ref="BI87" si="1595">IF(BI88=0,0,BH87+1)</f>
        <v>0</v>
      </c>
      <c r="BJ87" s="196">
        <f t="shared" ref="BJ87" si="1596">IF(BJ88=0,0,BI87+1)</f>
        <v>0</v>
      </c>
      <c r="BK87" s="196">
        <f t="shared" ref="BK87" si="1597">IF(BK88=0,0,BJ87+1)</f>
        <v>0</v>
      </c>
    </row>
    <row r="88" spans="1:63" ht="7.8" x14ac:dyDescent="0.15">
      <c r="A88" s="216" t="s">
        <v>178</v>
      </c>
      <c r="B88" s="192"/>
      <c r="C88" s="192"/>
      <c r="D88" s="192"/>
      <c r="E88" s="192"/>
      <c r="F88" s="192"/>
      <c r="G88" s="192"/>
      <c r="H88" s="192"/>
      <c r="I88" s="192"/>
      <c r="J88" s="192"/>
      <c r="K88" s="192"/>
      <c r="L88" s="192"/>
      <c r="M88" s="217">
        <f>LoanSize</f>
        <v>25</v>
      </c>
      <c r="N88" s="215">
        <f>IF(M88-M91&lt;=0.1,0,M88-M91)</f>
        <v>23.79027212253634</v>
      </c>
      <c r="O88" s="215">
        <f t="shared" ref="O88:BK88" si="1598">IF(N88-N91&lt;=0.1,0,N88-N91)</f>
        <v>22.56189427362845</v>
      </c>
      <c r="P88" s="215">
        <f t="shared" si="1598"/>
        <v>21.314578932883229</v>
      </c>
      <c r="Q88" s="215">
        <f t="shared" si="1598"/>
        <v>20.048034147301522</v>
      </c>
      <c r="R88" s="215">
        <f t="shared" si="1598"/>
        <v>18.761963462942095</v>
      </c>
      <c r="S88" s="215">
        <f t="shared" si="1598"/>
        <v>17.456065855532128</v>
      </c>
      <c r="T88" s="215">
        <f t="shared" si="1598"/>
        <v>16.130035660007923</v>
      </c>
      <c r="U88" s="215">
        <f t="shared" si="1598"/>
        <v>14.783562498969387</v>
      </c>
      <c r="V88" s="215">
        <f t="shared" si="1598"/>
        <v>13.416331210031506</v>
      </c>
      <c r="W88" s="215">
        <f t="shared" si="1598"/>
        <v>12.028021772055833</v>
      </c>
      <c r="X88" s="215">
        <f t="shared" si="1598"/>
        <v>10.618309230244702</v>
      </c>
      <c r="Y88" s="215">
        <f t="shared" si="1598"/>
        <v>9.1868636200806488</v>
      </c>
      <c r="Z88" s="215">
        <f t="shared" si="1598"/>
        <v>7.7333498900932334</v>
      </c>
      <c r="AA88" s="215">
        <f t="shared" si="1598"/>
        <v>6.2574278234351794</v>
      </c>
      <c r="AB88" s="215">
        <f t="shared" si="1598"/>
        <v>4.7587519582494799</v>
      </c>
      <c r="AC88" s="215">
        <f t="shared" si="1598"/>
        <v>3.2369715068088345</v>
      </c>
      <c r="AD88" s="215">
        <f t="shared" si="1598"/>
        <v>1.6917302734084789</v>
      </c>
      <c r="AE88" s="215">
        <f t="shared" si="1598"/>
        <v>0.12266657099320111</v>
      </c>
      <c r="AF88" s="215">
        <f t="shared" si="1598"/>
        <v>0</v>
      </c>
      <c r="AG88" s="215">
        <f t="shared" si="1598"/>
        <v>0</v>
      </c>
      <c r="AH88" s="215">
        <f t="shared" si="1598"/>
        <v>0</v>
      </c>
      <c r="AI88" s="215">
        <f t="shared" si="1598"/>
        <v>0</v>
      </c>
      <c r="AJ88" s="215">
        <f t="shared" si="1598"/>
        <v>0</v>
      </c>
      <c r="AK88" s="215">
        <f t="shared" si="1598"/>
        <v>0</v>
      </c>
      <c r="AL88" s="215">
        <f t="shared" si="1598"/>
        <v>0</v>
      </c>
      <c r="AM88" s="215">
        <f t="shared" si="1598"/>
        <v>0</v>
      </c>
      <c r="AN88" s="215">
        <f t="shared" si="1598"/>
        <v>0</v>
      </c>
      <c r="AO88" s="215">
        <f t="shared" si="1598"/>
        <v>0</v>
      </c>
      <c r="AP88" s="215">
        <f t="shared" si="1598"/>
        <v>0</v>
      </c>
      <c r="AQ88" s="215">
        <f t="shared" si="1598"/>
        <v>0</v>
      </c>
      <c r="AR88" s="215">
        <f t="shared" si="1598"/>
        <v>0</v>
      </c>
      <c r="AS88" s="215">
        <f t="shared" si="1598"/>
        <v>0</v>
      </c>
      <c r="AT88" s="215">
        <f t="shared" si="1598"/>
        <v>0</v>
      </c>
      <c r="AU88" s="215">
        <f t="shared" si="1598"/>
        <v>0</v>
      </c>
      <c r="AV88" s="215">
        <f t="shared" si="1598"/>
        <v>0</v>
      </c>
      <c r="AW88" s="215">
        <f t="shared" si="1598"/>
        <v>0</v>
      </c>
      <c r="AX88" s="215">
        <f t="shared" si="1598"/>
        <v>0</v>
      </c>
      <c r="AY88" s="215">
        <f t="shared" si="1598"/>
        <v>0</v>
      </c>
      <c r="AZ88" s="215">
        <f t="shared" si="1598"/>
        <v>0</v>
      </c>
      <c r="BA88" s="215">
        <f t="shared" si="1598"/>
        <v>0</v>
      </c>
      <c r="BB88" s="215">
        <f t="shared" si="1598"/>
        <v>0</v>
      </c>
      <c r="BC88" s="215">
        <f t="shared" si="1598"/>
        <v>0</v>
      </c>
      <c r="BD88" s="215">
        <f t="shared" si="1598"/>
        <v>0</v>
      </c>
      <c r="BE88" s="215">
        <f t="shared" si="1598"/>
        <v>0</v>
      </c>
      <c r="BF88" s="215">
        <f t="shared" si="1598"/>
        <v>0</v>
      </c>
      <c r="BG88" s="215">
        <f t="shared" si="1598"/>
        <v>0</v>
      </c>
      <c r="BH88" s="215">
        <f t="shared" si="1598"/>
        <v>0</v>
      </c>
      <c r="BI88" s="215">
        <f t="shared" si="1598"/>
        <v>0</v>
      </c>
      <c r="BJ88" s="215">
        <f t="shared" si="1598"/>
        <v>0</v>
      </c>
      <c r="BK88" s="215">
        <f t="shared" si="1598"/>
        <v>0</v>
      </c>
    </row>
    <row r="89" spans="1:63" ht="7.8" x14ac:dyDescent="0.15">
      <c r="A89" s="218" t="s">
        <v>179</v>
      </c>
      <c r="B89" s="192"/>
      <c r="C89" s="192"/>
      <c r="D89" s="192"/>
      <c r="E89" s="192"/>
      <c r="F89" s="192"/>
      <c r="G89" s="192"/>
      <c r="H89" s="192"/>
      <c r="I89" s="192"/>
      <c r="J89" s="192"/>
      <c r="K89" s="192"/>
      <c r="L89" s="192"/>
      <c r="M89" s="219">
        <f>IF(M88=0,0,PMT(INDEX(LoanCohortRate,1),LoanTerm, -LoanSize))</f>
        <v>1.5951445441303251</v>
      </c>
      <c r="N89" s="222">
        <f t="shared" ref="N89" si="1599">IF(N88=0,0, M89)</f>
        <v>1.5951445441303251</v>
      </c>
      <c r="O89" s="222">
        <f t="shared" ref="O89" si="1600">IF(O88=0,0, N89)</f>
        <v>1.5951445441303251</v>
      </c>
      <c r="P89" s="222">
        <f t="shared" ref="P89" si="1601">IF(P88=0,0, O89)</f>
        <v>1.5951445441303251</v>
      </c>
      <c r="Q89" s="222">
        <f t="shared" ref="Q89" si="1602">IF(Q88=0,0, P89)</f>
        <v>1.5951445441303251</v>
      </c>
      <c r="R89" s="222">
        <f t="shared" ref="R89" si="1603">IF(R88=0,0, Q89)</f>
        <v>1.5951445441303251</v>
      </c>
      <c r="S89" s="222">
        <f t="shared" ref="S89" si="1604">IF(S88=0,0, R89)</f>
        <v>1.5951445441303251</v>
      </c>
      <c r="T89" s="222">
        <f t="shared" ref="T89" si="1605">IF(T88=0,0, S89)</f>
        <v>1.5951445441303251</v>
      </c>
      <c r="U89" s="222">
        <f t="shared" ref="U89" si="1606">IF(U88=0,0, T89)</f>
        <v>1.5951445441303251</v>
      </c>
      <c r="V89" s="222">
        <f t="shared" ref="V89" si="1607">IF(V88=0,0, U89)</f>
        <v>1.5951445441303251</v>
      </c>
      <c r="W89" s="222">
        <f t="shared" ref="W89" si="1608">IF(W88=0,0, V89)</f>
        <v>1.5951445441303251</v>
      </c>
      <c r="X89" s="222">
        <f t="shared" ref="X89" si="1609">IF(X88=0,0, W89)</f>
        <v>1.5951445441303251</v>
      </c>
      <c r="Y89" s="222">
        <f t="shared" ref="Y89" si="1610">IF(Y88=0,0, X89)</f>
        <v>1.5951445441303251</v>
      </c>
      <c r="Z89" s="222">
        <f t="shared" ref="Z89" si="1611">IF(Z88=0,0, Y89)</f>
        <v>1.5951445441303251</v>
      </c>
      <c r="AA89" s="222">
        <f t="shared" ref="AA89" si="1612">IF(AA88=0,0, Z89)</f>
        <v>1.5951445441303251</v>
      </c>
      <c r="AB89" s="222">
        <f t="shared" ref="AB89" si="1613">IF(AB88=0,0, AA89)</f>
        <v>1.5951445441303251</v>
      </c>
      <c r="AC89" s="222">
        <f t="shared" ref="AC89" si="1614">IF(AC88=0,0, AB89)</f>
        <v>1.5951445441303251</v>
      </c>
      <c r="AD89" s="222">
        <f t="shared" ref="AD89" si="1615">IF(AD88=0,0, AC89)</f>
        <v>1.5951445441303251</v>
      </c>
      <c r="AE89" s="222">
        <f t="shared" ref="AE89" si="1616">IF(AE88=0,0, AD89)</f>
        <v>1.5951445441303251</v>
      </c>
      <c r="AF89" s="222">
        <f t="shared" ref="AF89" si="1617">IF(AF88=0,0, AE89)</f>
        <v>0</v>
      </c>
      <c r="AG89" s="222">
        <f t="shared" ref="AG89" si="1618">IF(AG88=0,0, AF89)</f>
        <v>0</v>
      </c>
      <c r="AH89" s="222">
        <f t="shared" ref="AH89" si="1619">IF(AH88=0,0, AG89)</f>
        <v>0</v>
      </c>
      <c r="AI89" s="222">
        <f t="shared" ref="AI89" si="1620">IF(AI88=0,0, AH89)</f>
        <v>0</v>
      </c>
      <c r="AJ89" s="222">
        <f t="shared" ref="AJ89" si="1621">IF(AJ88=0,0, AI89)</f>
        <v>0</v>
      </c>
      <c r="AK89" s="222">
        <f t="shared" ref="AK89" si="1622">IF(AK88=0,0, AJ89)</f>
        <v>0</v>
      </c>
      <c r="AL89" s="222">
        <f t="shared" ref="AL89" si="1623">IF(AL88=0,0, AK89)</f>
        <v>0</v>
      </c>
      <c r="AM89" s="222">
        <f t="shared" ref="AM89" si="1624">IF(AM88=0,0, AL89)</f>
        <v>0</v>
      </c>
      <c r="AN89" s="222">
        <f t="shared" ref="AN89" si="1625">IF(AN88=0,0, AM89)</f>
        <v>0</v>
      </c>
      <c r="AO89" s="222">
        <f t="shared" ref="AO89" si="1626">IF(AO88=0,0, AN89)</f>
        <v>0</v>
      </c>
      <c r="AP89" s="222">
        <f t="shared" ref="AP89" si="1627">IF(AP88=0,0, AO89)</f>
        <v>0</v>
      </c>
      <c r="AQ89" s="222">
        <f t="shared" ref="AQ89" si="1628">IF(AQ88=0,0, AP89)</f>
        <v>0</v>
      </c>
      <c r="AR89" s="222">
        <f t="shared" ref="AR89" si="1629">IF(AR88=0,0, AQ89)</f>
        <v>0</v>
      </c>
      <c r="AS89" s="222">
        <f t="shared" ref="AS89" si="1630">IF(AS88=0,0, AR89)</f>
        <v>0</v>
      </c>
      <c r="AT89" s="222">
        <f t="shared" ref="AT89" si="1631">IF(AT88=0,0, AS89)</f>
        <v>0</v>
      </c>
      <c r="AU89" s="222">
        <f t="shared" ref="AU89" si="1632">IF(AU88=0,0, AT89)</f>
        <v>0</v>
      </c>
      <c r="AV89" s="222">
        <f t="shared" ref="AV89" si="1633">IF(AV88=0,0, AU89)</f>
        <v>0</v>
      </c>
      <c r="AW89" s="222">
        <f t="shared" ref="AW89" si="1634">IF(AW88=0,0, AV89)</f>
        <v>0</v>
      </c>
      <c r="AX89" s="222">
        <f t="shared" ref="AX89" si="1635">IF(AX88=0,0, AW89)</f>
        <v>0</v>
      </c>
      <c r="AY89" s="222">
        <f t="shared" ref="AY89" si="1636">IF(AY88=0,0, AX89)</f>
        <v>0</v>
      </c>
      <c r="AZ89" s="222">
        <f t="shared" ref="AZ89" si="1637">IF(AZ88=0,0, AY89)</f>
        <v>0</v>
      </c>
      <c r="BA89" s="222">
        <f t="shared" ref="BA89" si="1638">IF(BA88=0,0, AZ89)</f>
        <v>0</v>
      </c>
      <c r="BB89" s="222">
        <f t="shared" ref="BB89" si="1639">IF(BB88=0,0, BA89)</f>
        <v>0</v>
      </c>
      <c r="BC89" s="222">
        <f t="shared" ref="BC89" si="1640">IF(BC88=0,0, BB89)</f>
        <v>0</v>
      </c>
      <c r="BD89" s="222">
        <f t="shared" ref="BD89" si="1641">IF(BD88=0,0, BC89)</f>
        <v>0</v>
      </c>
      <c r="BE89" s="222">
        <f t="shared" ref="BE89" si="1642">IF(BE88=0,0, BD89)</f>
        <v>0</v>
      </c>
      <c r="BF89" s="222">
        <f t="shared" ref="BF89" si="1643">IF(BF88=0,0, BE89)</f>
        <v>0</v>
      </c>
      <c r="BG89" s="222">
        <f t="shared" ref="BG89" si="1644">IF(BG88=0,0, BF89)</f>
        <v>0</v>
      </c>
      <c r="BH89" s="222">
        <f t="shared" ref="BH89" si="1645">IF(BH88=0,0, BG89)</f>
        <v>0</v>
      </c>
      <c r="BI89" s="222">
        <f t="shared" ref="BI89" si="1646">IF(BI88=0,0, BH89)</f>
        <v>0</v>
      </c>
      <c r="BJ89" s="222">
        <f t="shared" ref="BJ89" si="1647">IF(BJ88=0,0, BI89)</f>
        <v>0</v>
      </c>
      <c r="BK89" s="222">
        <f t="shared" ref="BK89" si="1648">IF(BK88=0,0, BJ89)</f>
        <v>0</v>
      </c>
    </row>
    <row r="90" spans="1:63" ht="7.8" x14ac:dyDescent="0.15">
      <c r="A90" s="218" t="s">
        <v>180</v>
      </c>
      <c r="B90" s="192"/>
      <c r="C90" s="192"/>
      <c r="D90" s="192"/>
      <c r="E90" s="192"/>
      <c r="F90" s="192"/>
      <c r="G90" s="192"/>
      <c r="H90" s="192"/>
      <c r="I90" s="192"/>
      <c r="J90" s="192"/>
      <c r="K90" s="192"/>
      <c r="L90" s="192"/>
      <c r="M90" s="220" cm="1">
        <f t="array" ref="M90">M88*INDEX(LoanCohortRate,$A87)</f>
        <v>0.38541666666666669</v>
      </c>
      <c r="N90" s="221" cm="1">
        <f t="array" ref="N90">N88*INDEX(LoanCohortRate,$A87)</f>
        <v>0.36676669522243527</v>
      </c>
      <c r="O90" s="221" cm="1">
        <f t="array" ref="O90">O88*INDEX(LoanCohortRate,$A87)</f>
        <v>0.34782920338510526</v>
      </c>
      <c r="P90" s="221" cm="1">
        <f t="array" ref="P90">P88*INDEX(LoanCohortRate,$A87)</f>
        <v>0.32859975854861645</v>
      </c>
      <c r="Q90" s="221" cm="1">
        <f t="array" ref="Q90">Q88*INDEX(LoanCohortRate,$A87)</f>
        <v>0.30907385977089846</v>
      </c>
      <c r="R90" s="221" cm="1">
        <f t="array" ref="R90">R88*INDEX(LoanCohortRate,$A87)</f>
        <v>0.28924693672035728</v>
      </c>
      <c r="S90" s="221" cm="1">
        <f t="array" ref="S90">S88*INDEX(LoanCohortRate,$A87)</f>
        <v>0.26911434860612032</v>
      </c>
      <c r="T90" s="221" cm="1">
        <f t="array" ref="T90">T88*INDEX(LoanCohortRate,$A87)</f>
        <v>0.24867138309178882</v>
      </c>
      <c r="U90" s="221" cm="1">
        <f t="array" ref="U90">U88*INDEX(LoanCohortRate,$A87)</f>
        <v>0.22791325519244471</v>
      </c>
      <c r="V90" s="221" cm="1">
        <f t="array" ref="V90">V88*INDEX(LoanCohortRate,$A87)</f>
        <v>0.20683510615465239</v>
      </c>
      <c r="W90" s="221" cm="1">
        <f t="array" ref="W90">W88*INDEX(LoanCohortRate,$A87)</f>
        <v>0.1854320023191941</v>
      </c>
      <c r="X90" s="221" cm="1">
        <f t="array" ref="X90">X88*INDEX(LoanCohortRate,$A87)</f>
        <v>0.1636989339662725</v>
      </c>
      <c r="Y90" s="221" cm="1">
        <f t="array" ref="Y90">Y88*INDEX(LoanCohortRate,$A87)</f>
        <v>0.14163081414291001</v>
      </c>
      <c r="Z90" s="221" cm="1">
        <f t="array" ref="Z90">Z88*INDEX(LoanCohortRate,$A87)</f>
        <v>0.11922247747227069</v>
      </c>
      <c r="AA90" s="221" cm="1">
        <f t="array" ref="AA90">AA88*INDEX(LoanCohortRate,$A87)</f>
        <v>9.6468678944625685E-2</v>
      </c>
      <c r="AB90" s="221" cm="1">
        <f t="array" ref="AB90">AB88*INDEX(LoanCohortRate,$A87)</f>
        <v>7.3364092689679486E-2</v>
      </c>
      <c r="AC90" s="221" cm="1">
        <f t="array" ref="AC90">AC88*INDEX(LoanCohortRate,$A87)</f>
        <v>4.9903310729969536E-2</v>
      </c>
      <c r="AD90" s="221" cm="1">
        <f t="array" ref="AD90">AD88*INDEX(LoanCohortRate,$A87)</f>
        <v>2.6080841715047383E-2</v>
      </c>
      <c r="AE90" s="221" cm="1">
        <f t="array" ref="AE90">AE88*INDEX(LoanCohortRate,$A87)</f>
        <v>1.8911096361451838E-3</v>
      </c>
      <c r="AF90" s="221" cm="1">
        <f t="array" ref="AF90">AF88*INDEX(LoanCohortRate,$A87)</f>
        <v>0</v>
      </c>
      <c r="AG90" s="221" cm="1">
        <f t="array" ref="AG90">AG88*INDEX(LoanCohortRate,$A87)</f>
        <v>0</v>
      </c>
      <c r="AH90" s="221" cm="1">
        <f t="array" ref="AH90">AH88*INDEX(LoanCohortRate,$A87)</f>
        <v>0</v>
      </c>
      <c r="AI90" s="221" cm="1">
        <f t="array" ref="AI90">AI88*INDEX(LoanCohortRate,$A87)</f>
        <v>0</v>
      </c>
      <c r="AJ90" s="221" cm="1">
        <f t="array" ref="AJ90">AJ88*INDEX(LoanCohortRate,$A87)</f>
        <v>0</v>
      </c>
      <c r="AK90" s="221" cm="1">
        <f t="array" ref="AK90">AK88*INDEX(LoanCohortRate,$A87)</f>
        <v>0</v>
      </c>
      <c r="AL90" s="221" cm="1">
        <f t="array" ref="AL90">AL88*INDEX(LoanCohortRate,$A87)</f>
        <v>0</v>
      </c>
      <c r="AM90" s="221" cm="1">
        <f t="array" ref="AM90">AM88*INDEX(LoanCohortRate,$A87)</f>
        <v>0</v>
      </c>
      <c r="AN90" s="221" cm="1">
        <f t="array" ref="AN90">AN88*INDEX(LoanCohortRate,$A87)</f>
        <v>0</v>
      </c>
      <c r="AO90" s="221" cm="1">
        <f t="array" ref="AO90">AO88*INDEX(LoanCohortRate,$A87)</f>
        <v>0</v>
      </c>
      <c r="AP90" s="221" cm="1">
        <f t="array" ref="AP90">AP88*INDEX(LoanCohortRate,$A87)</f>
        <v>0</v>
      </c>
      <c r="AQ90" s="221" cm="1">
        <f t="array" ref="AQ90">AQ88*INDEX(LoanCohortRate,$A87)</f>
        <v>0</v>
      </c>
      <c r="AR90" s="221" cm="1">
        <f t="array" ref="AR90">AR88*INDEX(LoanCohortRate,$A87)</f>
        <v>0</v>
      </c>
      <c r="AS90" s="221" cm="1">
        <f t="array" ref="AS90">AS88*INDEX(LoanCohortRate,$A87)</f>
        <v>0</v>
      </c>
      <c r="AT90" s="221" cm="1">
        <f t="array" ref="AT90">AT88*INDEX(LoanCohortRate,$A87)</f>
        <v>0</v>
      </c>
      <c r="AU90" s="221" cm="1">
        <f t="array" ref="AU90">AU88*INDEX(LoanCohortRate,$A87)</f>
        <v>0</v>
      </c>
      <c r="AV90" s="221" cm="1">
        <f t="array" ref="AV90">AV88*INDEX(LoanCohortRate,$A87)</f>
        <v>0</v>
      </c>
      <c r="AW90" s="221" cm="1">
        <f t="array" ref="AW90">AW88*INDEX(LoanCohortRate,$A87)</f>
        <v>0</v>
      </c>
      <c r="AX90" s="221" cm="1">
        <f t="array" ref="AX90">AX88*INDEX(LoanCohortRate,$A87)</f>
        <v>0</v>
      </c>
      <c r="AY90" s="221" cm="1">
        <f t="array" ref="AY90">AY88*INDEX(LoanCohortRate,$A87)</f>
        <v>0</v>
      </c>
      <c r="AZ90" s="221" cm="1">
        <f t="array" ref="AZ90">AZ88*INDEX(LoanCohortRate,$A87)</f>
        <v>0</v>
      </c>
      <c r="BA90" s="221" cm="1">
        <f t="array" ref="BA90">BA88*INDEX(LoanCohortRate,$A87)</f>
        <v>0</v>
      </c>
      <c r="BB90" s="221" cm="1">
        <f t="array" ref="BB90">BB88*INDEX(LoanCohortRate,$A87)</f>
        <v>0</v>
      </c>
      <c r="BC90" s="221" cm="1">
        <f t="array" ref="BC90">BC88*INDEX(LoanCohortRate,$A87)</f>
        <v>0</v>
      </c>
      <c r="BD90" s="221" cm="1">
        <f t="array" ref="BD90">BD88*INDEX(LoanCohortRate,$A87)</f>
        <v>0</v>
      </c>
      <c r="BE90" s="221" cm="1">
        <f t="array" ref="BE90">BE88*INDEX(LoanCohortRate,$A87)</f>
        <v>0</v>
      </c>
      <c r="BF90" s="221" cm="1">
        <f t="array" ref="BF90">BF88*INDEX(LoanCohortRate,$A87)</f>
        <v>0</v>
      </c>
      <c r="BG90" s="221" cm="1">
        <f t="array" ref="BG90">BG88*INDEX(LoanCohortRate,$A87)</f>
        <v>0</v>
      </c>
      <c r="BH90" s="221" cm="1">
        <f t="array" ref="BH90">BH88*INDEX(LoanCohortRate,$A87)</f>
        <v>0</v>
      </c>
      <c r="BI90" s="221" cm="1">
        <f t="array" ref="BI90">BI88*INDEX(LoanCohortRate,$A87)</f>
        <v>0</v>
      </c>
      <c r="BJ90" s="221" cm="1">
        <f t="array" ref="BJ90">BJ88*INDEX(LoanCohortRate,$A87)</f>
        <v>0</v>
      </c>
      <c r="BK90" s="221" cm="1">
        <f t="array" ref="BK90">BK88*INDEX(LoanCohortRate,$A87)</f>
        <v>0</v>
      </c>
    </row>
    <row r="91" spans="1:63" ht="7.8" x14ac:dyDescent="0.15">
      <c r="A91" s="218" t="s">
        <v>177</v>
      </c>
      <c r="B91" s="192"/>
      <c r="C91" s="192"/>
      <c r="D91" s="192"/>
      <c r="E91" s="192"/>
      <c r="F91" s="192"/>
      <c r="G91" s="192"/>
      <c r="H91" s="192"/>
      <c r="I91" s="192"/>
      <c r="J91" s="192"/>
      <c r="K91" s="192"/>
      <c r="L91" s="192"/>
      <c r="M91" s="219">
        <f>M89-M90</f>
        <v>1.2097278774636584</v>
      </c>
      <c r="N91" s="222">
        <f t="shared" ref="N91:BK91" si="1649">N89-N90</f>
        <v>1.2283778489078898</v>
      </c>
      <c r="O91" s="222">
        <f t="shared" si="1649"/>
        <v>1.24731534074522</v>
      </c>
      <c r="P91" s="222">
        <f t="shared" si="1649"/>
        <v>1.2665447855817087</v>
      </c>
      <c r="Q91" s="222">
        <f t="shared" si="1649"/>
        <v>1.2860706843594267</v>
      </c>
      <c r="R91" s="222">
        <f t="shared" si="1649"/>
        <v>1.305897607409968</v>
      </c>
      <c r="S91" s="222">
        <f t="shared" si="1649"/>
        <v>1.3260301955242049</v>
      </c>
      <c r="T91" s="222">
        <f t="shared" si="1649"/>
        <v>1.3464731610385363</v>
      </c>
      <c r="U91" s="222">
        <f t="shared" si="1649"/>
        <v>1.3672312889378804</v>
      </c>
      <c r="V91" s="222">
        <f t="shared" si="1649"/>
        <v>1.3883094379756726</v>
      </c>
      <c r="W91" s="222">
        <f t="shared" si="1649"/>
        <v>1.4097125418111309</v>
      </c>
      <c r="X91" s="222">
        <f t="shared" si="1649"/>
        <v>1.4314456101640527</v>
      </c>
      <c r="Y91" s="222">
        <f t="shared" si="1649"/>
        <v>1.453513729987415</v>
      </c>
      <c r="Z91" s="222">
        <f t="shared" si="1649"/>
        <v>1.4759220666580544</v>
      </c>
      <c r="AA91" s="222">
        <f t="shared" si="1649"/>
        <v>1.4986758651856995</v>
      </c>
      <c r="AB91" s="222">
        <f t="shared" si="1649"/>
        <v>1.5217804514406457</v>
      </c>
      <c r="AC91" s="222">
        <f t="shared" si="1649"/>
        <v>1.5452412334003556</v>
      </c>
      <c r="AD91" s="222">
        <f t="shared" si="1649"/>
        <v>1.5690637024152778</v>
      </c>
      <c r="AE91" s="222">
        <f t="shared" si="1649"/>
        <v>1.59325343449418</v>
      </c>
      <c r="AF91" s="222">
        <f t="shared" si="1649"/>
        <v>0</v>
      </c>
      <c r="AG91" s="222">
        <f t="shared" si="1649"/>
        <v>0</v>
      </c>
      <c r="AH91" s="222">
        <f t="shared" si="1649"/>
        <v>0</v>
      </c>
      <c r="AI91" s="222">
        <f t="shared" si="1649"/>
        <v>0</v>
      </c>
      <c r="AJ91" s="222">
        <f t="shared" si="1649"/>
        <v>0</v>
      </c>
      <c r="AK91" s="222">
        <f t="shared" si="1649"/>
        <v>0</v>
      </c>
      <c r="AL91" s="222">
        <f t="shared" si="1649"/>
        <v>0</v>
      </c>
      <c r="AM91" s="222">
        <f t="shared" si="1649"/>
        <v>0</v>
      </c>
      <c r="AN91" s="222">
        <f t="shared" si="1649"/>
        <v>0</v>
      </c>
      <c r="AO91" s="222">
        <f t="shared" si="1649"/>
        <v>0</v>
      </c>
      <c r="AP91" s="222">
        <f t="shared" si="1649"/>
        <v>0</v>
      </c>
      <c r="AQ91" s="222">
        <f t="shared" si="1649"/>
        <v>0</v>
      </c>
      <c r="AR91" s="222">
        <f t="shared" si="1649"/>
        <v>0</v>
      </c>
      <c r="AS91" s="222">
        <f t="shared" si="1649"/>
        <v>0</v>
      </c>
      <c r="AT91" s="222">
        <f t="shared" si="1649"/>
        <v>0</v>
      </c>
      <c r="AU91" s="222">
        <f t="shared" si="1649"/>
        <v>0</v>
      </c>
      <c r="AV91" s="222">
        <f t="shared" si="1649"/>
        <v>0</v>
      </c>
      <c r="AW91" s="222">
        <f t="shared" si="1649"/>
        <v>0</v>
      </c>
      <c r="AX91" s="222">
        <f t="shared" si="1649"/>
        <v>0</v>
      </c>
      <c r="AY91" s="222">
        <f t="shared" si="1649"/>
        <v>0</v>
      </c>
      <c r="AZ91" s="222">
        <f t="shared" si="1649"/>
        <v>0</v>
      </c>
      <c r="BA91" s="222">
        <f t="shared" si="1649"/>
        <v>0</v>
      </c>
      <c r="BB91" s="222">
        <f t="shared" si="1649"/>
        <v>0</v>
      </c>
      <c r="BC91" s="222">
        <f t="shared" si="1649"/>
        <v>0</v>
      </c>
      <c r="BD91" s="222">
        <f t="shared" si="1649"/>
        <v>0</v>
      </c>
      <c r="BE91" s="222">
        <f t="shared" si="1649"/>
        <v>0</v>
      </c>
      <c r="BF91" s="222">
        <f t="shared" si="1649"/>
        <v>0</v>
      </c>
      <c r="BG91" s="222">
        <f t="shared" si="1649"/>
        <v>0</v>
      </c>
      <c r="BH91" s="222">
        <f t="shared" si="1649"/>
        <v>0</v>
      </c>
      <c r="BI91" s="222">
        <f t="shared" si="1649"/>
        <v>0</v>
      </c>
      <c r="BJ91" s="222">
        <f t="shared" si="1649"/>
        <v>0</v>
      </c>
      <c r="BK91" s="222">
        <f t="shared" si="1649"/>
        <v>0</v>
      </c>
    </row>
    <row r="92" spans="1:63" ht="7.8" x14ac:dyDescent="0.15">
      <c r="A92" s="205" t="s">
        <v>7</v>
      </c>
      <c r="B92" s="192"/>
      <c r="C92" s="192"/>
      <c r="D92" s="192"/>
      <c r="E92" s="192"/>
      <c r="F92" s="192"/>
      <c r="G92" s="192"/>
      <c r="H92" s="192"/>
      <c r="I92" s="192"/>
      <c r="J92" s="192"/>
      <c r="K92" s="192"/>
      <c r="L92" s="192"/>
      <c r="M92" s="214" cm="1">
        <f t="array" ref="M92">INDEX(LoanOriginations,$A87)</f>
        <v>104.59105791450641</v>
      </c>
      <c r="N92" s="199">
        <f t="shared" ref="N92:AS92" si="1650">M92*(1-MitigateDelinquency*MitigateChargeoff)  *  IF(N87=0,0,IF(N87-102=LoanSaleHeld,0.6,1))</f>
        <v>104.4864668565919</v>
      </c>
      <c r="O92" s="199">
        <f t="shared" si="1650"/>
        <v>104.38198038973532</v>
      </c>
      <c r="P92" s="199">
        <f t="shared" si="1650"/>
        <v>104.27759840934559</v>
      </c>
      <c r="Q92" s="199">
        <f t="shared" si="1650"/>
        <v>62.503992486561742</v>
      </c>
      <c r="R92" s="199">
        <f t="shared" si="1650"/>
        <v>62.44148849407518</v>
      </c>
      <c r="S92" s="199">
        <f t="shared" si="1650"/>
        <v>62.379047005581107</v>
      </c>
      <c r="T92" s="199">
        <f t="shared" si="1650"/>
        <v>62.316667958575529</v>
      </c>
      <c r="U92" s="199">
        <f t="shared" si="1650"/>
        <v>62.254351290616952</v>
      </c>
      <c r="V92" s="199">
        <f t="shared" si="1650"/>
        <v>62.192096939326333</v>
      </c>
      <c r="W92" s="199">
        <f t="shared" si="1650"/>
        <v>62.129904842387006</v>
      </c>
      <c r="X92" s="199">
        <f t="shared" si="1650"/>
        <v>62.06777493754462</v>
      </c>
      <c r="Y92" s="199">
        <f t="shared" si="1650"/>
        <v>62.005707162607074</v>
      </c>
      <c r="Z92" s="199">
        <f t="shared" si="1650"/>
        <v>61.943701455444469</v>
      </c>
      <c r="AA92" s="199">
        <f t="shared" si="1650"/>
        <v>61.881757753989021</v>
      </c>
      <c r="AB92" s="199">
        <f t="shared" si="1650"/>
        <v>61.819875996235034</v>
      </c>
      <c r="AC92" s="199">
        <f t="shared" si="1650"/>
        <v>61.758056120238798</v>
      </c>
      <c r="AD92" s="199">
        <f t="shared" si="1650"/>
        <v>61.696298064118558</v>
      </c>
      <c r="AE92" s="199">
        <f t="shared" si="1650"/>
        <v>61.634601766054438</v>
      </c>
      <c r="AF92" s="199">
        <f t="shared" si="1650"/>
        <v>0</v>
      </c>
      <c r="AG92" s="199">
        <f t="shared" si="1650"/>
        <v>0</v>
      </c>
      <c r="AH92" s="199">
        <f t="shared" si="1650"/>
        <v>0</v>
      </c>
      <c r="AI92" s="199">
        <f t="shared" si="1650"/>
        <v>0</v>
      </c>
      <c r="AJ92" s="199">
        <f t="shared" si="1650"/>
        <v>0</v>
      </c>
      <c r="AK92" s="199">
        <f t="shared" si="1650"/>
        <v>0</v>
      </c>
      <c r="AL92" s="199">
        <f t="shared" si="1650"/>
        <v>0</v>
      </c>
      <c r="AM92" s="199">
        <f t="shared" si="1650"/>
        <v>0</v>
      </c>
      <c r="AN92" s="199">
        <f t="shared" si="1650"/>
        <v>0</v>
      </c>
      <c r="AO92" s="199">
        <f t="shared" si="1650"/>
        <v>0</v>
      </c>
      <c r="AP92" s="199">
        <f t="shared" si="1650"/>
        <v>0</v>
      </c>
      <c r="AQ92" s="199">
        <f t="shared" si="1650"/>
        <v>0</v>
      </c>
      <c r="AR92" s="199">
        <f t="shared" si="1650"/>
        <v>0</v>
      </c>
      <c r="AS92" s="199">
        <f t="shared" si="1650"/>
        <v>0</v>
      </c>
      <c r="AT92" s="199">
        <f t="shared" ref="AT92:BK92" si="1651">AS92*(1-MitigateDelinquency*MitigateChargeoff)  *  IF(AT87=0,0,IF(AT87-102=LoanSaleHeld,0.6,1))</f>
        <v>0</v>
      </c>
      <c r="AU92" s="199">
        <f t="shared" si="1651"/>
        <v>0</v>
      </c>
      <c r="AV92" s="199">
        <f t="shared" si="1651"/>
        <v>0</v>
      </c>
      <c r="AW92" s="199">
        <f t="shared" si="1651"/>
        <v>0</v>
      </c>
      <c r="AX92" s="199">
        <f t="shared" si="1651"/>
        <v>0</v>
      </c>
      <c r="AY92" s="199">
        <f t="shared" si="1651"/>
        <v>0</v>
      </c>
      <c r="AZ92" s="199">
        <f t="shared" si="1651"/>
        <v>0</v>
      </c>
      <c r="BA92" s="199">
        <f t="shared" si="1651"/>
        <v>0</v>
      </c>
      <c r="BB92" s="199">
        <f t="shared" si="1651"/>
        <v>0</v>
      </c>
      <c r="BC92" s="199">
        <f t="shared" si="1651"/>
        <v>0</v>
      </c>
      <c r="BD92" s="199">
        <f t="shared" si="1651"/>
        <v>0</v>
      </c>
      <c r="BE92" s="199">
        <f t="shared" si="1651"/>
        <v>0</v>
      </c>
      <c r="BF92" s="199">
        <f t="shared" si="1651"/>
        <v>0</v>
      </c>
      <c r="BG92" s="199">
        <f t="shared" si="1651"/>
        <v>0</v>
      </c>
      <c r="BH92" s="199">
        <f t="shared" si="1651"/>
        <v>0</v>
      </c>
      <c r="BI92" s="199">
        <f t="shared" si="1651"/>
        <v>0</v>
      </c>
      <c r="BJ92" s="199">
        <f t="shared" si="1651"/>
        <v>0</v>
      </c>
      <c r="BK92" s="199">
        <f t="shared" si="1651"/>
        <v>0</v>
      </c>
    </row>
    <row r="93" spans="1:63" ht="7.8" x14ac:dyDescent="0.15">
      <c r="A93" s="207" t="s">
        <v>96</v>
      </c>
      <c r="B93" s="192"/>
      <c r="C93" s="192"/>
      <c r="D93" s="192"/>
      <c r="E93" s="192"/>
      <c r="F93" s="192"/>
      <c r="G93" s="192"/>
      <c r="H93" s="192"/>
      <c r="I93" s="192"/>
      <c r="J93" s="192"/>
      <c r="K93" s="192"/>
      <c r="L93" s="192"/>
      <c r="M93" s="223">
        <f>M90*M92</f>
        <v>40.311136904549343</v>
      </c>
      <c r="N93" s="200">
        <f t="shared" ref="N93" si="1652">N90*N92</f>
        <v>38.322156144460727</v>
      </c>
      <c r="O93" s="200">
        <f t="shared" ref="O93" si="1653">O90*O92</f>
        <v>36.307101086721318</v>
      </c>
      <c r="P93" s="200">
        <f t="shared" ref="P93" si="1654">P90*P92</f>
        <v>34.265593659340553</v>
      </c>
      <c r="Q93" s="200">
        <f t="shared" ref="Q93" si="1655">Q90*Q92</f>
        <v>19.318350208912875</v>
      </c>
      <c r="R93" s="200">
        <f t="shared" ref="R93" si="1656">R90*R92</f>
        <v>18.061009271170683</v>
      </c>
      <c r="S93" s="200">
        <f t="shared" ref="S93" si="1657">S90*S92</f>
        <v>16.78709660157752</v>
      </c>
      <c r="T93" s="200">
        <f t="shared" ref="T93" si="1658">T90*T92</f>
        <v>15.496372010930736</v>
      </c>
      <c r="U93" s="200">
        <f t="shared" ref="U93" si="1659">U90*U92</f>
        <v>14.188591852538481</v>
      </c>
      <c r="V93" s="200">
        <f t="shared" ref="V93" si="1660">V90*V92</f>
        <v>12.863508972425995</v>
      </c>
      <c r="W93" s="200">
        <f t="shared" ref="W93" si="1661">W90*W92</f>
        <v>11.520872658824816</v>
      </c>
      <c r="X93" s="200">
        <f t="shared" ref="X93" si="1662">X90*X92</f>
        <v>10.160428590934579</v>
      </c>
      <c r="Y93" s="200">
        <f t="shared" ref="Y93" si="1663">Y90*Y92</f>
        <v>8.7819187869469069</v>
      </c>
      <c r="Z93" s="200">
        <f t="shared" ref="Z93" si="1664">Z90*Z92</f>
        <v>7.3850815513207895</v>
      </c>
      <c r="AA93" s="200">
        <f t="shared" ref="AA93" si="1665">AA90*AA92</f>
        <v>5.9696514212986678</v>
      </c>
      <c r="AB93" s="200">
        <f t="shared" ref="AB93" si="1666">AB90*AB92</f>
        <v>4.5353591126522792</v>
      </c>
      <c r="AC93" s="200">
        <f t="shared" ref="AC93" si="1667">AC90*AC92</f>
        <v>3.0819314646471736</v>
      </c>
      <c r="AD93" s="200">
        <f t="shared" ref="AD93" si="1668">AD90*AD92</f>
        <v>1.6090913842146604</v>
      </c>
      <c r="AE93" s="200">
        <f t="shared" ref="AE93" si="1669">AE90*AE92</f>
        <v>0.11655778931975651</v>
      </c>
      <c r="AF93" s="200">
        <f t="shared" ref="AF93" si="1670">AF90*AF92</f>
        <v>0</v>
      </c>
      <c r="AG93" s="200">
        <f t="shared" ref="AG93" si="1671">AG90*AG92</f>
        <v>0</v>
      </c>
      <c r="AH93" s="200">
        <f t="shared" ref="AH93" si="1672">AH90*AH92</f>
        <v>0</v>
      </c>
      <c r="AI93" s="200">
        <f t="shared" ref="AI93" si="1673">AI90*AI92</f>
        <v>0</v>
      </c>
      <c r="AJ93" s="200">
        <f t="shared" ref="AJ93" si="1674">AJ90*AJ92</f>
        <v>0</v>
      </c>
      <c r="AK93" s="200">
        <f t="shared" ref="AK93" si="1675">AK90*AK92</f>
        <v>0</v>
      </c>
      <c r="AL93" s="200">
        <f t="shared" ref="AL93" si="1676">AL90*AL92</f>
        <v>0</v>
      </c>
      <c r="AM93" s="200">
        <f t="shared" ref="AM93" si="1677">AM90*AM92</f>
        <v>0</v>
      </c>
      <c r="AN93" s="200">
        <f t="shared" ref="AN93" si="1678">AN90*AN92</f>
        <v>0</v>
      </c>
      <c r="AO93" s="200">
        <f t="shared" ref="AO93" si="1679">AO90*AO92</f>
        <v>0</v>
      </c>
      <c r="AP93" s="200">
        <f t="shared" ref="AP93" si="1680">AP90*AP92</f>
        <v>0</v>
      </c>
      <c r="AQ93" s="200">
        <f t="shared" ref="AQ93" si="1681">AQ90*AQ92</f>
        <v>0</v>
      </c>
      <c r="AR93" s="200">
        <f t="shared" ref="AR93" si="1682">AR90*AR92</f>
        <v>0</v>
      </c>
      <c r="AS93" s="200">
        <f t="shared" ref="AS93" si="1683">AS90*AS92</f>
        <v>0</v>
      </c>
      <c r="AT93" s="200">
        <f t="shared" ref="AT93" si="1684">AT90*AT92</f>
        <v>0</v>
      </c>
      <c r="AU93" s="200">
        <f t="shared" ref="AU93" si="1685">AU90*AU92</f>
        <v>0</v>
      </c>
      <c r="AV93" s="200">
        <f t="shared" ref="AV93" si="1686">AV90*AV92</f>
        <v>0</v>
      </c>
      <c r="AW93" s="200">
        <f t="shared" ref="AW93" si="1687">AW90*AW92</f>
        <v>0</v>
      </c>
      <c r="AX93" s="200">
        <f t="shared" ref="AX93" si="1688">AX90*AX92</f>
        <v>0</v>
      </c>
      <c r="AY93" s="200">
        <f t="shared" ref="AY93" si="1689">AY90*AY92</f>
        <v>0</v>
      </c>
      <c r="AZ93" s="200">
        <f t="shared" ref="AZ93" si="1690">AZ90*AZ92</f>
        <v>0</v>
      </c>
      <c r="BA93" s="200">
        <f t="shared" ref="BA93" si="1691">BA90*BA92</f>
        <v>0</v>
      </c>
      <c r="BB93" s="200">
        <f t="shared" ref="BB93" si="1692">BB90*BB92</f>
        <v>0</v>
      </c>
      <c r="BC93" s="200">
        <f t="shared" ref="BC93" si="1693">BC90*BC92</f>
        <v>0</v>
      </c>
      <c r="BD93" s="200">
        <f t="shared" ref="BD93" si="1694">BD90*BD92</f>
        <v>0</v>
      </c>
      <c r="BE93" s="200">
        <f t="shared" ref="BE93" si="1695">BE90*BE92</f>
        <v>0</v>
      </c>
      <c r="BF93" s="200">
        <f t="shared" ref="BF93" si="1696">BF90*BF92</f>
        <v>0</v>
      </c>
      <c r="BG93" s="200">
        <f t="shared" ref="BG93" si="1697">BG90*BG92</f>
        <v>0</v>
      </c>
      <c r="BH93" s="200">
        <f t="shared" ref="BH93" si="1698">BH90*BH92</f>
        <v>0</v>
      </c>
      <c r="BI93" s="200">
        <f t="shared" ref="BI93" si="1699">BI90*BI92</f>
        <v>0</v>
      </c>
      <c r="BJ93" s="200">
        <f t="shared" ref="BJ93" si="1700">BJ90*BJ92</f>
        <v>0</v>
      </c>
      <c r="BK93" s="200">
        <f t="shared" ref="BK93" si="1701">BK90*BK92</f>
        <v>0</v>
      </c>
    </row>
    <row r="94" spans="1:63" ht="7.8" x14ac:dyDescent="0.15">
      <c r="A94" s="206" t="s">
        <v>97</v>
      </c>
      <c r="B94" s="192"/>
      <c r="C94" s="192"/>
      <c r="D94" s="192"/>
      <c r="E94" s="192"/>
      <c r="F94" s="192"/>
      <c r="G94" s="192"/>
      <c r="H94" s="192"/>
      <c r="I94" s="192"/>
      <c r="J94" s="192"/>
      <c r="K94" s="192"/>
      <c r="L94" s="192"/>
      <c r="M94" s="223">
        <f>M91*M92</f>
        <v>126.52671849259441</v>
      </c>
      <c r="N94" s="200">
        <f>N91*N92</f>
        <v>128.34886139728587</v>
      </c>
      <c r="O94" s="200">
        <f t="shared" ref="O94:BK94" si="1702">O91*O92</f>
        <v>130.19724543748359</v>
      </c>
      <c r="P94" s="200">
        <f t="shared" si="1702"/>
        <v>132.07224851834013</v>
      </c>
      <c r="Q94" s="200">
        <f t="shared" si="1702"/>
        <v>80.384552392388926</v>
      </c>
      <c r="R94" s="200">
        <f t="shared" si="1702"/>
        <v>81.542190427529817</v>
      </c>
      <c r="S94" s="200">
        <f t="shared" si="1702"/>
        <v>82.716499897424285</v>
      </c>
      <c r="T94" s="200">
        <f t="shared" si="1702"/>
        <v>83.907720891572069</v>
      </c>
      <c r="U94" s="200">
        <f t="shared" si="1702"/>
        <v>85.116096957061814</v>
      </c>
      <c r="V94" s="200">
        <f t="shared" si="1702"/>
        <v>86.341875148364693</v>
      </c>
      <c r="W94" s="200">
        <f t="shared" si="1702"/>
        <v>87.585306077845075</v>
      </c>
      <c r="X94" s="200">
        <f t="shared" si="1702"/>
        <v>88.846643966998656</v>
      </c>
      <c r="Y94" s="200">
        <f t="shared" si="1702"/>
        <v>90.126146698428386</v>
      </c>
      <c r="Z94" s="200">
        <f t="shared" si="1702"/>
        <v>91.424075868569133</v>
      </c>
      <c r="AA94" s="200">
        <f t="shared" si="1702"/>
        <v>92.740696841171371</v>
      </c>
      <c r="AB94" s="200">
        <f t="shared" si="1702"/>
        <v>94.07627880155529</v>
      </c>
      <c r="AC94" s="200">
        <f t="shared" si="1702"/>
        <v>95.431094811646176</v>
      </c>
      <c r="AD94" s="200">
        <f t="shared" si="1702"/>
        <v>96.805421865802401</v>
      </c>
      <c r="AE94" s="200">
        <f t="shared" si="1702"/>
        <v>98.199540947447289</v>
      </c>
      <c r="AF94" s="200">
        <f t="shared" si="1702"/>
        <v>0</v>
      </c>
      <c r="AG94" s="200">
        <f t="shared" si="1702"/>
        <v>0</v>
      </c>
      <c r="AH94" s="200">
        <f t="shared" si="1702"/>
        <v>0</v>
      </c>
      <c r="AI94" s="200">
        <f t="shared" si="1702"/>
        <v>0</v>
      </c>
      <c r="AJ94" s="200">
        <f t="shared" si="1702"/>
        <v>0</v>
      </c>
      <c r="AK94" s="200">
        <f t="shared" si="1702"/>
        <v>0</v>
      </c>
      <c r="AL94" s="200">
        <f t="shared" si="1702"/>
        <v>0</v>
      </c>
      <c r="AM94" s="200">
        <f t="shared" si="1702"/>
        <v>0</v>
      </c>
      <c r="AN94" s="200">
        <f t="shared" si="1702"/>
        <v>0</v>
      </c>
      <c r="AO94" s="200">
        <f t="shared" si="1702"/>
        <v>0</v>
      </c>
      <c r="AP94" s="200">
        <f t="shared" si="1702"/>
        <v>0</v>
      </c>
      <c r="AQ94" s="200">
        <f t="shared" si="1702"/>
        <v>0</v>
      </c>
      <c r="AR94" s="200">
        <f t="shared" si="1702"/>
        <v>0</v>
      </c>
      <c r="AS94" s="200">
        <f t="shared" si="1702"/>
        <v>0</v>
      </c>
      <c r="AT94" s="200">
        <f t="shared" si="1702"/>
        <v>0</v>
      </c>
      <c r="AU94" s="200">
        <f t="shared" si="1702"/>
        <v>0</v>
      </c>
      <c r="AV94" s="200">
        <f t="shared" si="1702"/>
        <v>0</v>
      </c>
      <c r="AW94" s="200">
        <f t="shared" si="1702"/>
        <v>0</v>
      </c>
      <c r="AX94" s="200">
        <f t="shared" si="1702"/>
        <v>0</v>
      </c>
      <c r="AY94" s="200">
        <f t="shared" si="1702"/>
        <v>0</v>
      </c>
      <c r="AZ94" s="200">
        <f t="shared" si="1702"/>
        <v>0</v>
      </c>
      <c r="BA94" s="200">
        <f t="shared" si="1702"/>
        <v>0</v>
      </c>
      <c r="BB94" s="200">
        <f t="shared" si="1702"/>
        <v>0</v>
      </c>
      <c r="BC94" s="200">
        <f t="shared" si="1702"/>
        <v>0</v>
      </c>
      <c r="BD94" s="200">
        <f t="shared" si="1702"/>
        <v>0</v>
      </c>
      <c r="BE94" s="200">
        <f t="shared" si="1702"/>
        <v>0</v>
      </c>
      <c r="BF94" s="200">
        <f t="shared" si="1702"/>
        <v>0</v>
      </c>
      <c r="BG94" s="200">
        <f t="shared" si="1702"/>
        <v>0</v>
      </c>
      <c r="BH94" s="200">
        <f t="shared" si="1702"/>
        <v>0</v>
      </c>
      <c r="BI94" s="200">
        <f t="shared" si="1702"/>
        <v>0</v>
      </c>
      <c r="BJ94" s="200">
        <f t="shared" si="1702"/>
        <v>0</v>
      </c>
      <c r="BK94" s="200">
        <f t="shared" si="1702"/>
        <v>0</v>
      </c>
    </row>
    <row r="95" spans="1:63" ht="7.8" x14ac:dyDescent="0.15">
      <c r="A95" s="208" t="s">
        <v>203</v>
      </c>
      <c r="B95" s="192"/>
      <c r="C95" s="192"/>
      <c r="D95" s="192"/>
      <c r="E95" s="192"/>
      <c r="F95" s="192"/>
      <c r="G95" s="192"/>
      <c r="H95" s="192"/>
      <c r="I95" s="192"/>
      <c r="J95" s="192"/>
      <c r="K95" s="192"/>
      <c r="L95" s="192"/>
      <c r="M95" s="224">
        <f>IF(M87-101&lt;&gt;LoanSaleHeld,0,SUM($D94:M94)*LoanSalePercent)</f>
        <v>0</v>
      </c>
      <c r="N95" s="225">
        <f>IF(N87-101&lt;&gt;LoanSaleHeld,0,SUM($D94:N94)*LoanSalePercent)</f>
        <v>0</v>
      </c>
      <c r="O95" s="225">
        <f>IF(O87-101&lt;&gt;LoanSaleHeld,0,SUM($D94:O94)*LoanSalePercent)</f>
        <v>0</v>
      </c>
      <c r="P95" s="225">
        <f>IF(P87-101&lt;&gt;LoanSaleHeld,0,SUM($D94:P94)*LoanSalePercent)</f>
        <v>206.85802953828161</v>
      </c>
      <c r="Q95" s="225">
        <f>IF(Q87-101&lt;&gt;LoanSaleHeld,0,SUM($D94:Q94)*LoanSalePercent)</f>
        <v>0</v>
      </c>
      <c r="R95" s="225">
        <f>IF(R87-101&lt;&gt;LoanSaleHeld,0,SUM($D94:R94)*LoanSalePercent)</f>
        <v>0</v>
      </c>
      <c r="S95" s="225">
        <f>IF(S87-101&lt;&gt;LoanSaleHeld,0,SUM($D94:S94)*LoanSalePercent)</f>
        <v>0</v>
      </c>
      <c r="T95" s="225">
        <f>IF(T87-101&lt;&gt;LoanSaleHeld,0,SUM($D94:T94)*LoanSalePercent)</f>
        <v>0</v>
      </c>
      <c r="U95" s="225">
        <f>IF(U87-101&lt;&gt;LoanSaleHeld,0,SUM($D94:U94)*LoanSalePercent)</f>
        <v>0</v>
      </c>
      <c r="V95" s="225">
        <f>IF(V87-101&lt;&gt;LoanSaleHeld,0,SUM($D94:V94)*LoanSalePercent)</f>
        <v>0</v>
      </c>
      <c r="W95" s="225">
        <f>IF(W87-101&lt;&gt;LoanSaleHeld,0,SUM($D94:W94)*LoanSalePercent)</f>
        <v>0</v>
      </c>
      <c r="X95" s="225">
        <f>IF(X87-101&lt;&gt;LoanSaleHeld,0,SUM($D94:X94)*LoanSalePercent)</f>
        <v>0</v>
      </c>
      <c r="Y95" s="225">
        <f>IF(Y87-101&lt;&gt;LoanSaleHeld,0,SUM($D94:Y94)*LoanSalePercent)</f>
        <v>0</v>
      </c>
      <c r="Z95" s="225">
        <f>IF(Z87-101&lt;&gt;LoanSaleHeld,0,SUM($D94:Z94)*LoanSalePercent)</f>
        <v>0</v>
      </c>
      <c r="AA95" s="225">
        <f>IF(AA87-101&lt;&gt;LoanSaleHeld,0,SUM($D94:AA94)*LoanSalePercent)</f>
        <v>0</v>
      </c>
      <c r="AB95" s="225">
        <f>IF(AB87-101&lt;&gt;LoanSaleHeld,0,SUM($D94:AB94)*LoanSalePercent)</f>
        <v>0</v>
      </c>
      <c r="AC95" s="225">
        <f>IF(AC87-101&lt;&gt;LoanSaleHeld,0,SUM($D94:AC94)*LoanSalePercent)</f>
        <v>0</v>
      </c>
      <c r="AD95" s="225">
        <f>IF(AD87-101&lt;&gt;LoanSaleHeld,0,SUM($D94:AD94)*LoanSalePercent)</f>
        <v>0</v>
      </c>
      <c r="AE95" s="225">
        <f>IF(AE87-101&lt;&gt;LoanSaleHeld,0,SUM($D94:AE94)*LoanSalePercent)</f>
        <v>0</v>
      </c>
      <c r="AF95" s="225">
        <f>IF(AF87-101&lt;&gt;LoanSaleHeld,0,SUM($D94:AF94)*LoanSalePercent)</f>
        <v>0</v>
      </c>
      <c r="AG95" s="225">
        <f>IF(AG87-101&lt;&gt;LoanSaleHeld,0,SUM($D94:AG94)*LoanSalePercent)</f>
        <v>0</v>
      </c>
      <c r="AH95" s="225">
        <f>IF(AH87-101&lt;&gt;LoanSaleHeld,0,SUM($D94:AH94)*LoanSalePercent)</f>
        <v>0</v>
      </c>
      <c r="AI95" s="225">
        <f>IF(AI87-101&lt;&gt;LoanSaleHeld,0,SUM($D94:AI94)*LoanSalePercent)</f>
        <v>0</v>
      </c>
      <c r="AJ95" s="225">
        <f>IF(AJ87-101&lt;&gt;LoanSaleHeld,0,SUM($D94:AJ94)*LoanSalePercent)</f>
        <v>0</v>
      </c>
      <c r="AK95" s="225">
        <f>IF(AK87-101&lt;&gt;LoanSaleHeld,0,SUM($D94:AK94)*LoanSalePercent)</f>
        <v>0</v>
      </c>
      <c r="AL95" s="225">
        <f>IF(AL87-101&lt;&gt;LoanSaleHeld,0,SUM($D94:AL94)*LoanSalePercent)</f>
        <v>0</v>
      </c>
      <c r="AM95" s="225">
        <f>IF(AM87-101&lt;&gt;LoanSaleHeld,0,SUM($D94:AM94)*LoanSalePercent)</f>
        <v>0</v>
      </c>
      <c r="AN95" s="225">
        <f>IF(AN87-101&lt;&gt;LoanSaleHeld,0,SUM($D94:AN94)*LoanSalePercent)</f>
        <v>0</v>
      </c>
      <c r="AO95" s="225">
        <f>IF(AO87-101&lt;&gt;LoanSaleHeld,0,SUM($D94:AO94)*LoanSalePercent)</f>
        <v>0</v>
      </c>
      <c r="AP95" s="225">
        <f>IF(AP87-101&lt;&gt;LoanSaleHeld,0,SUM($D94:AP94)*LoanSalePercent)</f>
        <v>0</v>
      </c>
      <c r="AQ95" s="225">
        <f>IF(AQ87-101&lt;&gt;LoanSaleHeld,0,SUM($D94:AQ94)*LoanSalePercent)</f>
        <v>0</v>
      </c>
      <c r="AR95" s="225">
        <f>IF(AR87-101&lt;&gt;LoanSaleHeld,0,SUM($D94:AR94)*LoanSalePercent)</f>
        <v>0</v>
      </c>
      <c r="AS95" s="225">
        <f>IF(AS87-101&lt;&gt;LoanSaleHeld,0,SUM($D94:AS94)*LoanSalePercent)</f>
        <v>0</v>
      </c>
      <c r="AT95" s="225">
        <f>IF(AT87-101&lt;&gt;LoanSaleHeld,0,SUM($D94:AT94)*LoanSalePercent)</f>
        <v>0</v>
      </c>
      <c r="AU95" s="225">
        <f>IF(AU87-101&lt;&gt;LoanSaleHeld,0,SUM($D94:AU94)*LoanSalePercent)</f>
        <v>0</v>
      </c>
      <c r="AV95" s="225">
        <f>IF(AV87-101&lt;&gt;LoanSaleHeld,0,SUM($D94:AV94)*LoanSalePercent)</f>
        <v>0</v>
      </c>
      <c r="AW95" s="225">
        <f>IF(AW87-101&lt;&gt;LoanSaleHeld,0,SUM($D94:AW94)*LoanSalePercent)</f>
        <v>0</v>
      </c>
      <c r="AX95" s="225">
        <f>IF(AX87-101&lt;&gt;LoanSaleHeld,0,SUM($D94:AX94)*LoanSalePercent)</f>
        <v>0</v>
      </c>
      <c r="AY95" s="225">
        <f>IF(AY87-101&lt;&gt;LoanSaleHeld,0,SUM($D94:AY94)*LoanSalePercent)</f>
        <v>0</v>
      </c>
      <c r="AZ95" s="225">
        <f>IF(AZ87-101&lt;&gt;LoanSaleHeld,0,SUM($D94:AZ94)*LoanSalePercent)</f>
        <v>0</v>
      </c>
      <c r="BA95" s="225">
        <f>IF(BA87-101&lt;&gt;LoanSaleHeld,0,SUM($D94:BA94)*LoanSalePercent)</f>
        <v>0</v>
      </c>
      <c r="BB95" s="225">
        <f>IF(BB87-101&lt;&gt;LoanSaleHeld,0,SUM($D94:BB94)*LoanSalePercent)</f>
        <v>0</v>
      </c>
      <c r="BC95" s="225">
        <f>IF(BC87-101&lt;&gt;LoanSaleHeld,0,SUM($D94:BC94)*LoanSalePercent)</f>
        <v>0</v>
      </c>
      <c r="BD95" s="225">
        <f>IF(BD87-101&lt;&gt;LoanSaleHeld,0,SUM($D94:BD94)*LoanSalePercent)</f>
        <v>0</v>
      </c>
      <c r="BE95" s="225">
        <f>IF(BE87-101&lt;&gt;LoanSaleHeld,0,SUM($D94:BE94)*LoanSalePercent)</f>
        <v>0</v>
      </c>
      <c r="BF95" s="225">
        <f>IF(BF87-101&lt;&gt;LoanSaleHeld,0,SUM($D94:BF94)*LoanSalePercent)</f>
        <v>0</v>
      </c>
      <c r="BG95" s="225">
        <f>IF(BG87-101&lt;&gt;LoanSaleHeld,0,SUM($D94:BG94)*LoanSalePercent)</f>
        <v>0</v>
      </c>
      <c r="BH95" s="225">
        <f>IF(BH87-101&lt;&gt;LoanSaleHeld,0,SUM($D94:BH94)*LoanSalePercent)</f>
        <v>0</v>
      </c>
      <c r="BI95" s="225">
        <f>IF(BI87-101&lt;&gt;LoanSaleHeld,0,SUM($D94:BI94)*LoanSalePercent)</f>
        <v>0</v>
      </c>
      <c r="BJ95" s="225">
        <f>IF(BJ87-101&lt;&gt;LoanSaleHeld,0,SUM($D94:BJ94)*LoanSalePercent)</f>
        <v>0</v>
      </c>
      <c r="BK95" s="225">
        <f>IF(BK87-101&lt;&gt;LoanSaleHeld,0,SUM($D94:BK94)*LoanSalePercent)</f>
        <v>0</v>
      </c>
    </row>
    <row r="96" spans="1:63" ht="7.8" x14ac:dyDescent="0.15">
      <c r="A96" s="204">
        <f t="shared" ref="A96" si="1703">A87+1</f>
        <v>11</v>
      </c>
      <c r="B96" s="192"/>
      <c r="C96" s="192"/>
      <c r="D96" s="192"/>
      <c r="E96" s="192"/>
      <c r="F96" s="192"/>
      <c r="G96" s="192"/>
      <c r="H96" s="192"/>
      <c r="I96" s="192"/>
      <c r="J96" s="192"/>
      <c r="K96" s="192"/>
      <c r="L96" s="192"/>
      <c r="M96" s="192"/>
      <c r="N96" s="195">
        <v>101</v>
      </c>
      <c r="O96" s="196">
        <f t="shared" ref="O96" si="1704">IF(O97=0,0,N96+1)</f>
        <v>102</v>
      </c>
      <c r="P96" s="196">
        <f t="shared" ref="P96" si="1705">IF(P97=0,0,O96+1)</f>
        <v>103</v>
      </c>
      <c r="Q96" s="196">
        <f t="shared" ref="Q96" si="1706">IF(Q97=0,0,P96+1)</f>
        <v>104</v>
      </c>
      <c r="R96" s="196">
        <f t="shared" ref="R96" si="1707">IF(R97=0,0,Q96+1)</f>
        <v>105</v>
      </c>
      <c r="S96" s="196">
        <f t="shared" ref="S96" si="1708">IF(S97=0,0,R96+1)</f>
        <v>106</v>
      </c>
      <c r="T96" s="196">
        <f t="shared" ref="T96" si="1709">IF(T97=0,0,S96+1)</f>
        <v>107</v>
      </c>
      <c r="U96" s="196">
        <f t="shared" ref="U96" si="1710">IF(U97=0,0,T96+1)</f>
        <v>108</v>
      </c>
      <c r="V96" s="196">
        <f t="shared" ref="V96" si="1711">IF(V97=0,0,U96+1)</f>
        <v>109</v>
      </c>
      <c r="W96" s="196">
        <f t="shared" ref="W96" si="1712">IF(W97=0,0,V96+1)</f>
        <v>110</v>
      </c>
      <c r="X96" s="196">
        <f t="shared" ref="X96" si="1713">IF(X97=0,0,W96+1)</f>
        <v>111</v>
      </c>
      <c r="Y96" s="196">
        <f t="shared" ref="Y96" si="1714">IF(Y97=0,0,X96+1)</f>
        <v>112</v>
      </c>
      <c r="Z96" s="196">
        <f t="shared" ref="Z96" si="1715">IF(Z97=0,0,Y96+1)</f>
        <v>113</v>
      </c>
      <c r="AA96" s="196">
        <f t="shared" ref="AA96" si="1716">IF(AA97=0,0,Z96+1)</f>
        <v>114</v>
      </c>
      <c r="AB96" s="196">
        <f t="shared" ref="AB96" si="1717">IF(AB97=0,0,AA96+1)</f>
        <v>115</v>
      </c>
      <c r="AC96" s="196">
        <f t="shared" ref="AC96" si="1718">IF(AC97=0,0,AB96+1)</f>
        <v>116</v>
      </c>
      <c r="AD96" s="196">
        <f t="shared" ref="AD96" si="1719">IF(AD97=0,0,AC96+1)</f>
        <v>117</v>
      </c>
      <c r="AE96" s="196">
        <f t="shared" ref="AE96" si="1720">IF(AE97=0,0,AD96+1)</f>
        <v>118</v>
      </c>
      <c r="AF96" s="196">
        <f t="shared" ref="AF96" si="1721">IF(AF97=0,0,AE96+1)</f>
        <v>119</v>
      </c>
      <c r="AG96" s="196">
        <f t="shared" ref="AG96" si="1722">IF(AG97=0,0,AF96+1)</f>
        <v>0</v>
      </c>
      <c r="AH96" s="196">
        <f t="shared" ref="AH96" si="1723">IF(AH97=0,0,AG96+1)</f>
        <v>0</v>
      </c>
      <c r="AI96" s="196">
        <f t="shared" ref="AI96" si="1724">IF(AI97=0,0,AH96+1)</f>
        <v>0</v>
      </c>
      <c r="AJ96" s="196">
        <f t="shared" ref="AJ96" si="1725">IF(AJ97=0,0,AI96+1)</f>
        <v>0</v>
      </c>
      <c r="AK96" s="196">
        <f t="shared" ref="AK96" si="1726">IF(AK97=0,0,AJ96+1)</f>
        <v>0</v>
      </c>
      <c r="AL96" s="196">
        <f t="shared" ref="AL96" si="1727">IF(AL97=0,0,AK96+1)</f>
        <v>0</v>
      </c>
      <c r="AM96" s="196">
        <f t="shared" ref="AM96" si="1728">IF(AM97=0,0,AL96+1)</f>
        <v>0</v>
      </c>
      <c r="AN96" s="196">
        <f t="shared" ref="AN96" si="1729">IF(AN97=0,0,AM96+1)</f>
        <v>0</v>
      </c>
      <c r="AO96" s="196">
        <f t="shared" ref="AO96" si="1730">IF(AO97=0,0,AN96+1)</f>
        <v>0</v>
      </c>
      <c r="AP96" s="196">
        <f t="shared" ref="AP96" si="1731">IF(AP97=0,0,AO96+1)</f>
        <v>0</v>
      </c>
      <c r="AQ96" s="196">
        <f t="shared" ref="AQ96" si="1732">IF(AQ97=0,0,AP96+1)</f>
        <v>0</v>
      </c>
      <c r="AR96" s="196">
        <f t="shared" ref="AR96" si="1733">IF(AR97=0,0,AQ96+1)</f>
        <v>0</v>
      </c>
      <c r="AS96" s="196">
        <f t="shared" ref="AS96" si="1734">IF(AS97=0,0,AR96+1)</f>
        <v>0</v>
      </c>
      <c r="AT96" s="196">
        <f t="shared" ref="AT96" si="1735">IF(AT97=0,0,AS96+1)</f>
        <v>0</v>
      </c>
      <c r="AU96" s="196">
        <f t="shared" ref="AU96" si="1736">IF(AU97=0,0,AT96+1)</f>
        <v>0</v>
      </c>
      <c r="AV96" s="196">
        <f t="shared" ref="AV96" si="1737">IF(AV97=0,0,AU96+1)</f>
        <v>0</v>
      </c>
      <c r="AW96" s="196">
        <f t="shared" ref="AW96" si="1738">IF(AW97=0,0,AV96+1)</f>
        <v>0</v>
      </c>
      <c r="AX96" s="196">
        <f t="shared" ref="AX96" si="1739">IF(AX97=0,0,AW96+1)</f>
        <v>0</v>
      </c>
      <c r="AY96" s="196">
        <f t="shared" ref="AY96" si="1740">IF(AY97=0,0,AX96+1)</f>
        <v>0</v>
      </c>
      <c r="AZ96" s="196">
        <f t="shared" ref="AZ96" si="1741">IF(AZ97=0,0,AY96+1)</f>
        <v>0</v>
      </c>
      <c r="BA96" s="196">
        <f t="shared" ref="BA96" si="1742">IF(BA97=0,0,AZ96+1)</f>
        <v>0</v>
      </c>
      <c r="BB96" s="196">
        <f t="shared" ref="BB96" si="1743">IF(BB97=0,0,BA96+1)</f>
        <v>0</v>
      </c>
      <c r="BC96" s="196">
        <f t="shared" ref="BC96" si="1744">IF(BC97=0,0,BB96+1)</f>
        <v>0</v>
      </c>
      <c r="BD96" s="196">
        <f t="shared" ref="BD96" si="1745">IF(BD97=0,0,BC96+1)</f>
        <v>0</v>
      </c>
      <c r="BE96" s="196">
        <f t="shared" ref="BE96" si="1746">IF(BE97=0,0,BD96+1)</f>
        <v>0</v>
      </c>
      <c r="BF96" s="196">
        <f t="shared" ref="BF96" si="1747">IF(BF97=0,0,BE96+1)</f>
        <v>0</v>
      </c>
      <c r="BG96" s="196">
        <f t="shared" ref="BG96" si="1748">IF(BG97=0,0,BF96+1)</f>
        <v>0</v>
      </c>
      <c r="BH96" s="196">
        <f t="shared" ref="BH96" si="1749">IF(BH97=0,0,BG96+1)</f>
        <v>0</v>
      </c>
      <c r="BI96" s="196">
        <f t="shared" ref="BI96" si="1750">IF(BI97=0,0,BH96+1)</f>
        <v>0</v>
      </c>
      <c r="BJ96" s="196">
        <f t="shared" ref="BJ96" si="1751">IF(BJ97=0,0,BI96+1)</f>
        <v>0</v>
      </c>
      <c r="BK96" s="196">
        <f t="shared" ref="BK96" si="1752">IF(BK97=0,0,BJ96+1)</f>
        <v>0</v>
      </c>
    </row>
    <row r="97" spans="1:63" ht="7.8" x14ac:dyDescent="0.15">
      <c r="A97" s="216" t="s">
        <v>178</v>
      </c>
      <c r="B97" s="192"/>
      <c r="C97" s="192"/>
      <c r="D97" s="192"/>
      <c r="E97" s="192"/>
      <c r="F97" s="192"/>
      <c r="G97" s="192"/>
      <c r="H97" s="192"/>
      <c r="I97" s="192"/>
      <c r="J97" s="192"/>
      <c r="K97" s="192"/>
      <c r="L97" s="192"/>
      <c r="M97" s="192"/>
      <c r="N97" s="217">
        <f>LoanSize</f>
        <v>25</v>
      </c>
      <c r="O97" s="215">
        <f>IF(N97-N100&lt;=0.1,0,N97-N100)</f>
        <v>23.79027212253634</v>
      </c>
      <c r="P97" s="215">
        <f t="shared" ref="P97:BK97" si="1753">IF(O97-O100&lt;=0.1,0,O97-O100)</f>
        <v>22.56189427362845</v>
      </c>
      <c r="Q97" s="215">
        <f t="shared" si="1753"/>
        <v>21.314578932883229</v>
      </c>
      <c r="R97" s="215">
        <f t="shared" si="1753"/>
        <v>20.048034147301522</v>
      </c>
      <c r="S97" s="215">
        <f t="shared" si="1753"/>
        <v>18.761963462942095</v>
      </c>
      <c r="T97" s="215">
        <f t="shared" si="1753"/>
        <v>17.456065855532128</v>
      </c>
      <c r="U97" s="215">
        <f t="shared" si="1753"/>
        <v>16.130035660007923</v>
      </c>
      <c r="V97" s="215">
        <f t="shared" si="1753"/>
        <v>14.783562498969387</v>
      </c>
      <c r="W97" s="215">
        <f t="shared" si="1753"/>
        <v>13.416331210031506</v>
      </c>
      <c r="X97" s="215">
        <f t="shared" si="1753"/>
        <v>12.028021772055833</v>
      </c>
      <c r="Y97" s="215">
        <f t="shared" si="1753"/>
        <v>10.618309230244702</v>
      </c>
      <c r="Z97" s="215">
        <f t="shared" si="1753"/>
        <v>9.1868636200806488</v>
      </c>
      <c r="AA97" s="215">
        <f t="shared" si="1753"/>
        <v>7.7333498900932334</v>
      </c>
      <c r="AB97" s="215">
        <f t="shared" si="1753"/>
        <v>6.2574278234351794</v>
      </c>
      <c r="AC97" s="215">
        <f t="shared" si="1753"/>
        <v>4.7587519582494799</v>
      </c>
      <c r="AD97" s="215">
        <f t="shared" si="1753"/>
        <v>3.2369715068088345</v>
      </c>
      <c r="AE97" s="215">
        <f t="shared" si="1753"/>
        <v>1.6917302734084789</v>
      </c>
      <c r="AF97" s="215">
        <f t="shared" si="1753"/>
        <v>0.12266657099320111</v>
      </c>
      <c r="AG97" s="215">
        <f t="shared" si="1753"/>
        <v>0</v>
      </c>
      <c r="AH97" s="215">
        <f t="shared" si="1753"/>
        <v>0</v>
      </c>
      <c r="AI97" s="215">
        <f t="shared" si="1753"/>
        <v>0</v>
      </c>
      <c r="AJ97" s="215">
        <f t="shared" si="1753"/>
        <v>0</v>
      </c>
      <c r="AK97" s="215">
        <f t="shared" si="1753"/>
        <v>0</v>
      </c>
      <c r="AL97" s="215">
        <f t="shared" si="1753"/>
        <v>0</v>
      </c>
      <c r="AM97" s="215">
        <f t="shared" si="1753"/>
        <v>0</v>
      </c>
      <c r="AN97" s="215">
        <f t="shared" si="1753"/>
        <v>0</v>
      </c>
      <c r="AO97" s="215">
        <f t="shared" si="1753"/>
        <v>0</v>
      </c>
      <c r="AP97" s="215">
        <f t="shared" si="1753"/>
        <v>0</v>
      </c>
      <c r="AQ97" s="215">
        <f t="shared" si="1753"/>
        <v>0</v>
      </c>
      <c r="AR97" s="215">
        <f t="shared" si="1753"/>
        <v>0</v>
      </c>
      <c r="AS97" s="215">
        <f t="shared" si="1753"/>
        <v>0</v>
      </c>
      <c r="AT97" s="215">
        <f t="shared" si="1753"/>
        <v>0</v>
      </c>
      <c r="AU97" s="215">
        <f t="shared" si="1753"/>
        <v>0</v>
      </c>
      <c r="AV97" s="215">
        <f t="shared" si="1753"/>
        <v>0</v>
      </c>
      <c r="AW97" s="215">
        <f t="shared" si="1753"/>
        <v>0</v>
      </c>
      <c r="AX97" s="215">
        <f t="shared" si="1753"/>
        <v>0</v>
      </c>
      <c r="AY97" s="215">
        <f t="shared" si="1753"/>
        <v>0</v>
      </c>
      <c r="AZ97" s="215">
        <f t="shared" si="1753"/>
        <v>0</v>
      </c>
      <c r="BA97" s="215">
        <f t="shared" si="1753"/>
        <v>0</v>
      </c>
      <c r="BB97" s="215">
        <f t="shared" si="1753"/>
        <v>0</v>
      </c>
      <c r="BC97" s="215">
        <f t="shared" si="1753"/>
        <v>0</v>
      </c>
      <c r="BD97" s="215">
        <f t="shared" si="1753"/>
        <v>0</v>
      </c>
      <c r="BE97" s="215">
        <f t="shared" si="1753"/>
        <v>0</v>
      </c>
      <c r="BF97" s="215">
        <f t="shared" si="1753"/>
        <v>0</v>
      </c>
      <c r="BG97" s="215">
        <f t="shared" si="1753"/>
        <v>0</v>
      </c>
      <c r="BH97" s="215">
        <f t="shared" si="1753"/>
        <v>0</v>
      </c>
      <c r="BI97" s="215">
        <f t="shared" si="1753"/>
        <v>0</v>
      </c>
      <c r="BJ97" s="215">
        <f t="shared" si="1753"/>
        <v>0</v>
      </c>
      <c r="BK97" s="215">
        <f t="shared" si="1753"/>
        <v>0</v>
      </c>
    </row>
    <row r="98" spans="1:63" ht="7.8" x14ac:dyDescent="0.15">
      <c r="A98" s="218" t="s">
        <v>179</v>
      </c>
      <c r="B98" s="192"/>
      <c r="C98" s="192"/>
      <c r="D98" s="192"/>
      <c r="E98" s="192"/>
      <c r="F98" s="192"/>
      <c r="G98" s="192"/>
      <c r="H98" s="192"/>
      <c r="I98" s="192"/>
      <c r="J98" s="192"/>
      <c r="K98" s="192"/>
      <c r="L98" s="192"/>
      <c r="M98" s="192"/>
      <c r="N98" s="219">
        <f>IF(N97=0,0,PMT(INDEX(LoanCohortRate,1),LoanTerm, -LoanSize))</f>
        <v>1.5951445441303251</v>
      </c>
      <c r="O98" s="222">
        <f t="shared" ref="O98" si="1754">IF(O97=0,0, N98)</f>
        <v>1.5951445441303251</v>
      </c>
      <c r="P98" s="222">
        <f t="shared" ref="P98" si="1755">IF(P97=0,0, O98)</f>
        <v>1.5951445441303251</v>
      </c>
      <c r="Q98" s="222">
        <f t="shared" ref="Q98" si="1756">IF(Q97=0,0, P98)</f>
        <v>1.5951445441303251</v>
      </c>
      <c r="R98" s="222">
        <f t="shared" ref="R98" si="1757">IF(R97=0,0, Q98)</f>
        <v>1.5951445441303251</v>
      </c>
      <c r="S98" s="222">
        <f t="shared" ref="S98" si="1758">IF(S97=0,0, R98)</f>
        <v>1.5951445441303251</v>
      </c>
      <c r="T98" s="222">
        <f t="shared" ref="T98" si="1759">IF(T97=0,0, S98)</f>
        <v>1.5951445441303251</v>
      </c>
      <c r="U98" s="222">
        <f t="shared" ref="U98" si="1760">IF(U97=0,0, T98)</f>
        <v>1.5951445441303251</v>
      </c>
      <c r="V98" s="222">
        <f t="shared" ref="V98" si="1761">IF(V97=0,0, U98)</f>
        <v>1.5951445441303251</v>
      </c>
      <c r="W98" s="222">
        <f t="shared" ref="W98" si="1762">IF(W97=0,0, V98)</f>
        <v>1.5951445441303251</v>
      </c>
      <c r="X98" s="222">
        <f t="shared" ref="X98" si="1763">IF(X97=0,0, W98)</f>
        <v>1.5951445441303251</v>
      </c>
      <c r="Y98" s="222">
        <f t="shared" ref="Y98" si="1764">IF(Y97=0,0, X98)</f>
        <v>1.5951445441303251</v>
      </c>
      <c r="Z98" s="222">
        <f t="shared" ref="Z98" si="1765">IF(Z97=0,0, Y98)</f>
        <v>1.5951445441303251</v>
      </c>
      <c r="AA98" s="222">
        <f t="shared" ref="AA98" si="1766">IF(AA97=0,0, Z98)</f>
        <v>1.5951445441303251</v>
      </c>
      <c r="AB98" s="222">
        <f t="shared" ref="AB98" si="1767">IF(AB97=0,0, AA98)</f>
        <v>1.5951445441303251</v>
      </c>
      <c r="AC98" s="222">
        <f t="shared" ref="AC98" si="1768">IF(AC97=0,0, AB98)</f>
        <v>1.5951445441303251</v>
      </c>
      <c r="AD98" s="222">
        <f t="shared" ref="AD98" si="1769">IF(AD97=0,0, AC98)</f>
        <v>1.5951445441303251</v>
      </c>
      <c r="AE98" s="222">
        <f t="shared" ref="AE98" si="1770">IF(AE97=0,0, AD98)</f>
        <v>1.5951445441303251</v>
      </c>
      <c r="AF98" s="222">
        <f t="shared" ref="AF98" si="1771">IF(AF97=0,0, AE98)</f>
        <v>1.5951445441303251</v>
      </c>
      <c r="AG98" s="222">
        <f t="shared" ref="AG98" si="1772">IF(AG97=0,0, AF98)</f>
        <v>0</v>
      </c>
      <c r="AH98" s="222">
        <f t="shared" ref="AH98" si="1773">IF(AH97=0,0, AG98)</f>
        <v>0</v>
      </c>
      <c r="AI98" s="222">
        <f t="shared" ref="AI98" si="1774">IF(AI97=0,0, AH98)</f>
        <v>0</v>
      </c>
      <c r="AJ98" s="222">
        <f t="shared" ref="AJ98" si="1775">IF(AJ97=0,0, AI98)</f>
        <v>0</v>
      </c>
      <c r="AK98" s="222">
        <f t="shared" ref="AK98" si="1776">IF(AK97=0,0, AJ98)</f>
        <v>0</v>
      </c>
      <c r="AL98" s="222">
        <f t="shared" ref="AL98" si="1777">IF(AL97=0,0, AK98)</f>
        <v>0</v>
      </c>
      <c r="AM98" s="222">
        <f t="shared" ref="AM98" si="1778">IF(AM97=0,0, AL98)</f>
        <v>0</v>
      </c>
      <c r="AN98" s="222">
        <f t="shared" ref="AN98" si="1779">IF(AN97=0,0, AM98)</f>
        <v>0</v>
      </c>
      <c r="AO98" s="222">
        <f t="shared" ref="AO98" si="1780">IF(AO97=0,0, AN98)</f>
        <v>0</v>
      </c>
      <c r="AP98" s="222">
        <f t="shared" ref="AP98" si="1781">IF(AP97=0,0, AO98)</f>
        <v>0</v>
      </c>
      <c r="AQ98" s="222">
        <f t="shared" ref="AQ98" si="1782">IF(AQ97=0,0, AP98)</f>
        <v>0</v>
      </c>
      <c r="AR98" s="222">
        <f t="shared" ref="AR98" si="1783">IF(AR97=0,0, AQ98)</f>
        <v>0</v>
      </c>
      <c r="AS98" s="222">
        <f t="shared" ref="AS98" si="1784">IF(AS97=0,0, AR98)</f>
        <v>0</v>
      </c>
      <c r="AT98" s="222">
        <f t="shared" ref="AT98" si="1785">IF(AT97=0,0, AS98)</f>
        <v>0</v>
      </c>
      <c r="AU98" s="222">
        <f t="shared" ref="AU98" si="1786">IF(AU97=0,0, AT98)</f>
        <v>0</v>
      </c>
      <c r="AV98" s="222">
        <f t="shared" ref="AV98" si="1787">IF(AV97=0,0, AU98)</f>
        <v>0</v>
      </c>
      <c r="AW98" s="222">
        <f t="shared" ref="AW98" si="1788">IF(AW97=0,0, AV98)</f>
        <v>0</v>
      </c>
      <c r="AX98" s="222">
        <f t="shared" ref="AX98" si="1789">IF(AX97=0,0, AW98)</f>
        <v>0</v>
      </c>
      <c r="AY98" s="222">
        <f t="shared" ref="AY98" si="1790">IF(AY97=0,0, AX98)</f>
        <v>0</v>
      </c>
      <c r="AZ98" s="222">
        <f t="shared" ref="AZ98" si="1791">IF(AZ97=0,0, AY98)</f>
        <v>0</v>
      </c>
      <c r="BA98" s="222">
        <f t="shared" ref="BA98" si="1792">IF(BA97=0,0, AZ98)</f>
        <v>0</v>
      </c>
      <c r="BB98" s="222">
        <f t="shared" ref="BB98" si="1793">IF(BB97=0,0, BA98)</f>
        <v>0</v>
      </c>
      <c r="BC98" s="222">
        <f t="shared" ref="BC98" si="1794">IF(BC97=0,0, BB98)</f>
        <v>0</v>
      </c>
      <c r="BD98" s="222">
        <f t="shared" ref="BD98" si="1795">IF(BD97=0,0, BC98)</f>
        <v>0</v>
      </c>
      <c r="BE98" s="222">
        <f t="shared" ref="BE98" si="1796">IF(BE97=0,0, BD98)</f>
        <v>0</v>
      </c>
      <c r="BF98" s="222">
        <f t="shared" ref="BF98" si="1797">IF(BF97=0,0, BE98)</f>
        <v>0</v>
      </c>
      <c r="BG98" s="222">
        <f t="shared" ref="BG98" si="1798">IF(BG97=0,0, BF98)</f>
        <v>0</v>
      </c>
      <c r="BH98" s="222">
        <f t="shared" ref="BH98" si="1799">IF(BH97=0,0, BG98)</f>
        <v>0</v>
      </c>
      <c r="BI98" s="222">
        <f t="shared" ref="BI98" si="1800">IF(BI97=0,0, BH98)</f>
        <v>0</v>
      </c>
      <c r="BJ98" s="222">
        <f t="shared" ref="BJ98" si="1801">IF(BJ97=0,0, BI98)</f>
        <v>0</v>
      </c>
      <c r="BK98" s="222">
        <f t="shared" ref="BK98" si="1802">IF(BK97=0,0, BJ98)</f>
        <v>0</v>
      </c>
    </row>
    <row r="99" spans="1:63" ht="7.8" x14ac:dyDescent="0.15">
      <c r="A99" s="218" t="s">
        <v>180</v>
      </c>
      <c r="B99" s="192"/>
      <c r="C99" s="192"/>
      <c r="D99" s="192"/>
      <c r="E99" s="192"/>
      <c r="F99" s="192"/>
      <c r="G99" s="192"/>
      <c r="H99" s="192"/>
      <c r="I99" s="192"/>
      <c r="J99" s="192"/>
      <c r="K99" s="192"/>
      <c r="L99" s="192"/>
      <c r="M99" s="192"/>
      <c r="N99" s="220" cm="1">
        <f t="array" ref="N99">N97*INDEX(LoanCohortRate,$A96)</f>
        <v>0.38541666666666669</v>
      </c>
      <c r="O99" s="221" cm="1">
        <f t="array" ref="O99">O97*INDEX(LoanCohortRate,$A96)</f>
        <v>0.36676669522243527</v>
      </c>
      <c r="P99" s="221" cm="1">
        <f t="array" ref="P99">P97*INDEX(LoanCohortRate,$A96)</f>
        <v>0.34782920338510526</v>
      </c>
      <c r="Q99" s="221" cm="1">
        <f t="array" ref="Q99">Q97*INDEX(LoanCohortRate,$A96)</f>
        <v>0.32859975854861645</v>
      </c>
      <c r="R99" s="221" cm="1">
        <f t="array" ref="R99">R97*INDEX(LoanCohortRate,$A96)</f>
        <v>0.30907385977089846</v>
      </c>
      <c r="S99" s="221" cm="1">
        <f t="array" ref="S99">S97*INDEX(LoanCohortRate,$A96)</f>
        <v>0.28924693672035728</v>
      </c>
      <c r="T99" s="221" cm="1">
        <f t="array" ref="T99">T97*INDEX(LoanCohortRate,$A96)</f>
        <v>0.26911434860612032</v>
      </c>
      <c r="U99" s="221" cm="1">
        <f t="array" ref="U99">U97*INDEX(LoanCohortRate,$A96)</f>
        <v>0.24867138309178882</v>
      </c>
      <c r="V99" s="221" cm="1">
        <f t="array" ref="V99">V97*INDEX(LoanCohortRate,$A96)</f>
        <v>0.22791325519244471</v>
      </c>
      <c r="W99" s="221" cm="1">
        <f t="array" ref="W99">W97*INDEX(LoanCohortRate,$A96)</f>
        <v>0.20683510615465239</v>
      </c>
      <c r="X99" s="221" cm="1">
        <f t="array" ref="X99">X97*INDEX(LoanCohortRate,$A96)</f>
        <v>0.1854320023191941</v>
      </c>
      <c r="Y99" s="221" cm="1">
        <f t="array" ref="Y99">Y97*INDEX(LoanCohortRate,$A96)</f>
        <v>0.1636989339662725</v>
      </c>
      <c r="Z99" s="221" cm="1">
        <f t="array" ref="Z99">Z97*INDEX(LoanCohortRate,$A96)</f>
        <v>0.14163081414291001</v>
      </c>
      <c r="AA99" s="221" cm="1">
        <f t="array" ref="AA99">AA97*INDEX(LoanCohortRate,$A96)</f>
        <v>0.11922247747227069</v>
      </c>
      <c r="AB99" s="221" cm="1">
        <f t="array" ref="AB99">AB97*INDEX(LoanCohortRate,$A96)</f>
        <v>9.6468678944625685E-2</v>
      </c>
      <c r="AC99" s="221" cm="1">
        <f t="array" ref="AC99">AC97*INDEX(LoanCohortRate,$A96)</f>
        <v>7.3364092689679486E-2</v>
      </c>
      <c r="AD99" s="221" cm="1">
        <f t="array" ref="AD99">AD97*INDEX(LoanCohortRate,$A96)</f>
        <v>4.9903310729969536E-2</v>
      </c>
      <c r="AE99" s="221" cm="1">
        <f t="array" ref="AE99">AE97*INDEX(LoanCohortRate,$A96)</f>
        <v>2.6080841715047383E-2</v>
      </c>
      <c r="AF99" s="221" cm="1">
        <f t="array" ref="AF99">AF97*INDEX(LoanCohortRate,$A96)</f>
        <v>1.8911096361451838E-3</v>
      </c>
      <c r="AG99" s="221" cm="1">
        <f t="array" ref="AG99">AG97*INDEX(LoanCohortRate,$A96)</f>
        <v>0</v>
      </c>
      <c r="AH99" s="221" cm="1">
        <f t="array" ref="AH99">AH97*INDEX(LoanCohortRate,$A96)</f>
        <v>0</v>
      </c>
      <c r="AI99" s="221" cm="1">
        <f t="array" ref="AI99">AI97*INDEX(LoanCohortRate,$A96)</f>
        <v>0</v>
      </c>
      <c r="AJ99" s="221" cm="1">
        <f t="array" ref="AJ99">AJ97*INDEX(LoanCohortRate,$A96)</f>
        <v>0</v>
      </c>
      <c r="AK99" s="221" cm="1">
        <f t="array" ref="AK99">AK97*INDEX(LoanCohortRate,$A96)</f>
        <v>0</v>
      </c>
      <c r="AL99" s="221" cm="1">
        <f t="array" ref="AL99">AL97*INDEX(LoanCohortRate,$A96)</f>
        <v>0</v>
      </c>
      <c r="AM99" s="221" cm="1">
        <f t="array" ref="AM99">AM97*INDEX(LoanCohortRate,$A96)</f>
        <v>0</v>
      </c>
      <c r="AN99" s="221" cm="1">
        <f t="array" ref="AN99">AN97*INDEX(LoanCohortRate,$A96)</f>
        <v>0</v>
      </c>
      <c r="AO99" s="221" cm="1">
        <f t="array" ref="AO99">AO97*INDEX(LoanCohortRate,$A96)</f>
        <v>0</v>
      </c>
      <c r="AP99" s="221" cm="1">
        <f t="array" ref="AP99">AP97*INDEX(LoanCohortRate,$A96)</f>
        <v>0</v>
      </c>
      <c r="AQ99" s="221" cm="1">
        <f t="array" ref="AQ99">AQ97*INDEX(LoanCohortRate,$A96)</f>
        <v>0</v>
      </c>
      <c r="AR99" s="221" cm="1">
        <f t="array" ref="AR99">AR97*INDEX(LoanCohortRate,$A96)</f>
        <v>0</v>
      </c>
      <c r="AS99" s="221" cm="1">
        <f t="array" ref="AS99">AS97*INDEX(LoanCohortRate,$A96)</f>
        <v>0</v>
      </c>
      <c r="AT99" s="221" cm="1">
        <f t="array" ref="AT99">AT97*INDEX(LoanCohortRate,$A96)</f>
        <v>0</v>
      </c>
      <c r="AU99" s="221" cm="1">
        <f t="array" ref="AU99">AU97*INDEX(LoanCohortRate,$A96)</f>
        <v>0</v>
      </c>
      <c r="AV99" s="221" cm="1">
        <f t="array" ref="AV99">AV97*INDEX(LoanCohortRate,$A96)</f>
        <v>0</v>
      </c>
      <c r="AW99" s="221" cm="1">
        <f t="array" ref="AW99">AW97*INDEX(LoanCohortRate,$A96)</f>
        <v>0</v>
      </c>
      <c r="AX99" s="221" cm="1">
        <f t="array" ref="AX99">AX97*INDEX(LoanCohortRate,$A96)</f>
        <v>0</v>
      </c>
      <c r="AY99" s="221" cm="1">
        <f t="array" ref="AY99">AY97*INDEX(LoanCohortRate,$A96)</f>
        <v>0</v>
      </c>
      <c r="AZ99" s="221" cm="1">
        <f t="array" ref="AZ99">AZ97*INDEX(LoanCohortRate,$A96)</f>
        <v>0</v>
      </c>
      <c r="BA99" s="221" cm="1">
        <f t="array" ref="BA99">BA97*INDEX(LoanCohortRate,$A96)</f>
        <v>0</v>
      </c>
      <c r="BB99" s="221" cm="1">
        <f t="array" ref="BB99">BB97*INDEX(LoanCohortRate,$A96)</f>
        <v>0</v>
      </c>
      <c r="BC99" s="221" cm="1">
        <f t="array" ref="BC99">BC97*INDEX(LoanCohortRate,$A96)</f>
        <v>0</v>
      </c>
      <c r="BD99" s="221" cm="1">
        <f t="array" ref="BD99">BD97*INDEX(LoanCohortRate,$A96)</f>
        <v>0</v>
      </c>
      <c r="BE99" s="221" cm="1">
        <f t="array" ref="BE99">BE97*INDEX(LoanCohortRate,$A96)</f>
        <v>0</v>
      </c>
      <c r="BF99" s="221" cm="1">
        <f t="array" ref="BF99">BF97*INDEX(LoanCohortRate,$A96)</f>
        <v>0</v>
      </c>
      <c r="BG99" s="221" cm="1">
        <f t="array" ref="BG99">BG97*INDEX(LoanCohortRate,$A96)</f>
        <v>0</v>
      </c>
      <c r="BH99" s="221" cm="1">
        <f t="array" ref="BH99">BH97*INDEX(LoanCohortRate,$A96)</f>
        <v>0</v>
      </c>
      <c r="BI99" s="221" cm="1">
        <f t="array" ref="BI99">BI97*INDEX(LoanCohortRate,$A96)</f>
        <v>0</v>
      </c>
      <c r="BJ99" s="221" cm="1">
        <f t="array" ref="BJ99">BJ97*INDEX(LoanCohortRate,$A96)</f>
        <v>0</v>
      </c>
      <c r="BK99" s="221" cm="1">
        <f t="array" ref="BK99">BK97*INDEX(LoanCohortRate,$A96)</f>
        <v>0</v>
      </c>
    </row>
    <row r="100" spans="1:63" ht="7.8" x14ac:dyDescent="0.15">
      <c r="A100" s="218" t="s">
        <v>177</v>
      </c>
      <c r="B100" s="192"/>
      <c r="C100" s="192"/>
      <c r="D100" s="192"/>
      <c r="E100" s="192"/>
      <c r="F100" s="192"/>
      <c r="G100" s="192"/>
      <c r="H100" s="192"/>
      <c r="I100" s="192"/>
      <c r="J100" s="192"/>
      <c r="K100" s="192"/>
      <c r="L100" s="192"/>
      <c r="M100" s="192"/>
      <c r="N100" s="219">
        <f>N98-N99</f>
        <v>1.2097278774636584</v>
      </c>
      <c r="O100" s="222">
        <f t="shared" ref="O100:BK100" si="1803">O98-O99</f>
        <v>1.2283778489078898</v>
      </c>
      <c r="P100" s="222">
        <f t="shared" si="1803"/>
        <v>1.24731534074522</v>
      </c>
      <c r="Q100" s="222">
        <f t="shared" si="1803"/>
        <v>1.2665447855817087</v>
      </c>
      <c r="R100" s="222">
        <f t="shared" si="1803"/>
        <v>1.2860706843594267</v>
      </c>
      <c r="S100" s="222">
        <f t="shared" si="1803"/>
        <v>1.305897607409968</v>
      </c>
      <c r="T100" s="222">
        <f t="shared" si="1803"/>
        <v>1.3260301955242049</v>
      </c>
      <c r="U100" s="222">
        <f t="shared" si="1803"/>
        <v>1.3464731610385363</v>
      </c>
      <c r="V100" s="222">
        <f t="shared" si="1803"/>
        <v>1.3672312889378804</v>
      </c>
      <c r="W100" s="222">
        <f t="shared" si="1803"/>
        <v>1.3883094379756726</v>
      </c>
      <c r="X100" s="222">
        <f t="shared" si="1803"/>
        <v>1.4097125418111309</v>
      </c>
      <c r="Y100" s="222">
        <f t="shared" si="1803"/>
        <v>1.4314456101640527</v>
      </c>
      <c r="Z100" s="222">
        <f t="shared" si="1803"/>
        <v>1.453513729987415</v>
      </c>
      <c r="AA100" s="222">
        <f t="shared" si="1803"/>
        <v>1.4759220666580544</v>
      </c>
      <c r="AB100" s="222">
        <f t="shared" si="1803"/>
        <v>1.4986758651856995</v>
      </c>
      <c r="AC100" s="222">
        <f t="shared" si="1803"/>
        <v>1.5217804514406457</v>
      </c>
      <c r="AD100" s="222">
        <f t="shared" si="1803"/>
        <v>1.5452412334003556</v>
      </c>
      <c r="AE100" s="222">
        <f t="shared" si="1803"/>
        <v>1.5690637024152778</v>
      </c>
      <c r="AF100" s="222">
        <f t="shared" si="1803"/>
        <v>1.59325343449418</v>
      </c>
      <c r="AG100" s="222">
        <f t="shared" si="1803"/>
        <v>0</v>
      </c>
      <c r="AH100" s="222">
        <f t="shared" si="1803"/>
        <v>0</v>
      </c>
      <c r="AI100" s="222">
        <f t="shared" si="1803"/>
        <v>0</v>
      </c>
      <c r="AJ100" s="222">
        <f t="shared" si="1803"/>
        <v>0</v>
      </c>
      <c r="AK100" s="222">
        <f t="shared" si="1803"/>
        <v>0</v>
      </c>
      <c r="AL100" s="222">
        <f t="shared" si="1803"/>
        <v>0</v>
      </c>
      <c r="AM100" s="222">
        <f t="shared" si="1803"/>
        <v>0</v>
      </c>
      <c r="AN100" s="222">
        <f t="shared" si="1803"/>
        <v>0</v>
      </c>
      <c r="AO100" s="222">
        <f t="shared" si="1803"/>
        <v>0</v>
      </c>
      <c r="AP100" s="222">
        <f t="shared" si="1803"/>
        <v>0</v>
      </c>
      <c r="AQ100" s="222">
        <f t="shared" si="1803"/>
        <v>0</v>
      </c>
      <c r="AR100" s="222">
        <f t="shared" si="1803"/>
        <v>0</v>
      </c>
      <c r="AS100" s="222">
        <f t="shared" si="1803"/>
        <v>0</v>
      </c>
      <c r="AT100" s="222">
        <f t="shared" si="1803"/>
        <v>0</v>
      </c>
      <c r="AU100" s="222">
        <f t="shared" si="1803"/>
        <v>0</v>
      </c>
      <c r="AV100" s="222">
        <f t="shared" si="1803"/>
        <v>0</v>
      </c>
      <c r="AW100" s="222">
        <f t="shared" si="1803"/>
        <v>0</v>
      </c>
      <c r="AX100" s="222">
        <f t="shared" si="1803"/>
        <v>0</v>
      </c>
      <c r="AY100" s="222">
        <f t="shared" si="1803"/>
        <v>0</v>
      </c>
      <c r="AZ100" s="222">
        <f t="shared" si="1803"/>
        <v>0</v>
      </c>
      <c r="BA100" s="222">
        <f t="shared" si="1803"/>
        <v>0</v>
      </c>
      <c r="BB100" s="222">
        <f t="shared" si="1803"/>
        <v>0</v>
      </c>
      <c r="BC100" s="222">
        <f t="shared" si="1803"/>
        <v>0</v>
      </c>
      <c r="BD100" s="222">
        <f t="shared" si="1803"/>
        <v>0</v>
      </c>
      <c r="BE100" s="222">
        <f t="shared" si="1803"/>
        <v>0</v>
      </c>
      <c r="BF100" s="222">
        <f t="shared" si="1803"/>
        <v>0</v>
      </c>
      <c r="BG100" s="222">
        <f t="shared" si="1803"/>
        <v>0</v>
      </c>
      <c r="BH100" s="222">
        <f t="shared" si="1803"/>
        <v>0</v>
      </c>
      <c r="BI100" s="222">
        <f t="shared" si="1803"/>
        <v>0</v>
      </c>
      <c r="BJ100" s="222">
        <f t="shared" si="1803"/>
        <v>0</v>
      </c>
      <c r="BK100" s="222">
        <f t="shared" si="1803"/>
        <v>0</v>
      </c>
    </row>
    <row r="101" spans="1:63" ht="7.8" x14ac:dyDescent="0.15">
      <c r="A101" s="205" t="s">
        <v>7</v>
      </c>
      <c r="B101" s="192"/>
      <c r="C101" s="192"/>
      <c r="D101" s="192"/>
      <c r="E101" s="192"/>
      <c r="F101" s="192"/>
      <c r="G101" s="192"/>
      <c r="H101" s="192"/>
      <c r="I101" s="192"/>
      <c r="J101" s="192"/>
      <c r="K101" s="192"/>
      <c r="L101" s="192"/>
      <c r="M101" s="192"/>
      <c r="N101" s="214" cm="1">
        <f t="array" ref="N101">INDEX(LoanOriginations,$A96)</f>
        <v>105.11401320407893</v>
      </c>
      <c r="O101" s="199">
        <f t="shared" ref="O101:AT101" si="1804">N101*(1-MitigateDelinquency*MitigateChargeoff)  *  IF(O96=0,0,IF(O96-102=LoanSaleHeld,0.6,1))</f>
        <v>105.00889919087486</v>
      </c>
      <c r="P101" s="199">
        <f t="shared" si="1804"/>
        <v>104.90389029168398</v>
      </c>
      <c r="Q101" s="199">
        <f t="shared" si="1804"/>
        <v>104.7989864013923</v>
      </c>
      <c r="R101" s="199">
        <f t="shared" si="1804"/>
        <v>62.816512448994544</v>
      </c>
      <c r="S101" s="199">
        <f t="shared" si="1804"/>
        <v>62.753695936545547</v>
      </c>
      <c r="T101" s="199">
        <f t="shared" si="1804"/>
        <v>62.690942240609004</v>
      </c>
      <c r="U101" s="199">
        <f t="shared" si="1804"/>
        <v>62.628251298368397</v>
      </c>
      <c r="V101" s="199">
        <f t="shared" si="1804"/>
        <v>62.565623047070027</v>
      </c>
      <c r="W101" s="199">
        <f t="shared" si="1804"/>
        <v>62.503057424022956</v>
      </c>
      <c r="X101" s="199">
        <f t="shared" si="1804"/>
        <v>62.440554366598931</v>
      </c>
      <c r="Y101" s="199">
        <f t="shared" si="1804"/>
        <v>62.378113812232336</v>
      </c>
      <c r="Z101" s="199">
        <f t="shared" si="1804"/>
        <v>62.315735698420106</v>
      </c>
      <c r="AA101" s="199">
        <f t="shared" si="1804"/>
        <v>62.253419962721686</v>
      </c>
      <c r="AB101" s="199">
        <f t="shared" si="1804"/>
        <v>62.191166542758964</v>
      </c>
      <c r="AC101" s="199">
        <f t="shared" si="1804"/>
        <v>62.128975376216204</v>
      </c>
      <c r="AD101" s="199">
        <f t="shared" si="1804"/>
        <v>62.066846400839985</v>
      </c>
      <c r="AE101" s="199">
        <f t="shared" si="1804"/>
        <v>62.004779554439146</v>
      </c>
      <c r="AF101" s="199">
        <f t="shared" si="1804"/>
        <v>61.942774774884704</v>
      </c>
      <c r="AG101" s="199">
        <f t="shared" si="1804"/>
        <v>0</v>
      </c>
      <c r="AH101" s="199">
        <f t="shared" si="1804"/>
        <v>0</v>
      </c>
      <c r="AI101" s="199">
        <f t="shared" si="1804"/>
        <v>0</v>
      </c>
      <c r="AJ101" s="199">
        <f t="shared" si="1804"/>
        <v>0</v>
      </c>
      <c r="AK101" s="199">
        <f t="shared" si="1804"/>
        <v>0</v>
      </c>
      <c r="AL101" s="199">
        <f t="shared" si="1804"/>
        <v>0</v>
      </c>
      <c r="AM101" s="199">
        <f t="shared" si="1804"/>
        <v>0</v>
      </c>
      <c r="AN101" s="199">
        <f t="shared" si="1804"/>
        <v>0</v>
      </c>
      <c r="AO101" s="199">
        <f t="shared" si="1804"/>
        <v>0</v>
      </c>
      <c r="AP101" s="199">
        <f t="shared" si="1804"/>
        <v>0</v>
      </c>
      <c r="AQ101" s="199">
        <f t="shared" si="1804"/>
        <v>0</v>
      </c>
      <c r="AR101" s="199">
        <f t="shared" si="1804"/>
        <v>0</v>
      </c>
      <c r="AS101" s="199">
        <f t="shared" si="1804"/>
        <v>0</v>
      </c>
      <c r="AT101" s="199">
        <f t="shared" si="1804"/>
        <v>0</v>
      </c>
      <c r="AU101" s="199">
        <f t="shared" ref="AU101:BK101" si="1805">AT101*(1-MitigateDelinquency*MitigateChargeoff)  *  IF(AU96=0,0,IF(AU96-102=LoanSaleHeld,0.6,1))</f>
        <v>0</v>
      </c>
      <c r="AV101" s="199">
        <f t="shared" si="1805"/>
        <v>0</v>
      </c>
      <c r="AW101" s="199">
        <f t="shared" si="1805"/>
        <v>0</v>
      </c>
      <c r="AX101" s="199">
        <f t="shared" si="1805"/>
        <v>0</v>
      </c>
      <c r="AY101" s="199">
        <f t="shared" si="1805"/>
        <v>0</v>
      </c>
      <c r="AZ101" s="199">
        <f t="shared" si="1805"/>
        <v>0</v>
      </c>
      <c r="BA101" s="199">
        <f t="shared" si="1805"/>
        <v>0</v>
      </c>
      <c r="BB101" s="199">
        <f t="shared" si="1805"/>
        <v>0</v>
      </c>
      <c r="BC101" s="199">
        <f t="shared" si="1805"/>
        <v>0</v>
      </c>
      <c r="BD101" s="199">
        <f t="shared" si="1805"/>
        <v>0</v>
      </c>
      <c r="BE101" s="199">
        <f t="shared" si="1805"/>
        <v>0</v>
      </c>
      <c r="BF101" s="199">
        <f t="shared" si="1805"/>
        <v>0</v>
      </c>
      <c r="BG101" s="199">
        <f t="shared" si="1805"/>
        <v>0</v>
      </c>
      <c r="BH101" s="199">
        <f t="shared" si="1805"/>
        <v>0</v>
      </c>
      <c r="BI101" s="199">
        <f t="shared" si="1805"/>
        <v>0</v>
      </c>
      <c r="BJ101" s="199">
        <f t="shared" si="1805"/>
        <v>0</v>
      </c>
      <c r="BK101" s="199">
        <f t="shared" si="1805"/>
        <v>0</v>
      </c>
    </row>
    <row r="102" spans="1:63" ht="7.8" x14ac:dyDescent="0.15">
      <c r="A102" s="207" t="s">
        <v>96</v>
      </c>
      <c r="B102" s="192"/>
      <c r="C102" s="192"/>
      <c r="D102" s="192"/>
      <c r="E102" s="192"/>
      <c r="F102" s="192"/>
      <c r="G102" s="192"/>
      <c r="H102" s="192"/>
      <c r="I102" s="192"/>
      <c r="J102" s="192"/>
      <c r="K102" s="192"/>
      <c r="L102" s="192"/>
      <c r="M102" s="192"/>
      <c r="N102" s="223">
        <f>N99*N101</f>
        <v>40.512692589072088</v>
      </c>
      <c r="O102" s="200">
        <f t="shared" ref="O102" si="1806">O99*O101</f>
        <v>38.513766925183027</v>
      </c>
      <c r="P102" s="200">
        <f t="shared" ref="P102" si="1807">P99*P101</f>
        <v>36.488636592154919</v>
      </c>
      <c r="Q102" s="200">
        <f t="shared" ref="Q102" si="1808">Q99*Q101</f>
        <v>34.436921627637247</v>
      </c>
      <c r="R102" s="200">
        <f t="shared" ref="R102" si="1809">R99*R101</f>
        <v>19.414941959957439</v>
      </c>
      <c r="S102" s="200">
        <f t="shared" ref="S102" si="1810">S99*S101</f>
        <v>18.151314317526531</v>
      </c>
      <c r="T102" s="200">
        <f t="shared" ref="T102" si="1811">T99*T101</f>
        <v>16.871032084585405</v>
      </c>
      <c r="U102" s="200">
        <f t="shared" ref="U102" si="1812">U99*U101</f>
        <v>15.573853870985388</v>
      </c>
      <c r="V102" s="200">
        <f t="shared" ref="V102" si="1813">V99*V101</f>
        <v>14.259534811801171</v>
      </c>
      <c r="W102" s="200">
        <f t="shared" ref="W102" si="1814">W99*W101</f>
        <v>12.927826517288123</v>
      </c>
      <c r="X102" s="200">
        <f t="shared" ref="X102" si="1815">X99*X101</f>
        <v>11.578477022118939</v>
      </c>
      <c r="Y102" s="200">
        <f t="shared" ref="Y102" si="1816">Y99*Y101</f>
        <v>10.211230733889252</v>
      </c>
      <c r="Z102" s="200">
        <f t="shared" ref="Z102" si="1817">Z99*Z101</f>
        <v>8.8258283808816405</v>
      </c>
      <c r="AA102" s="200">
        <f t="shared" ref="AA102" si="1818">AA99*AA101</f>
        <v>7.4220069590773923</v>
      </c>
      <c r="AB102" s="200">
        <f t="shared" ref="AB102" si="1819">AB99*AB101</f>
        <v>5.9994996784051606</v>
      </c>
      <c r="AC102" s="200">
        <f t="shared" ref="AC102" si="1820">AC99*AC101</f>
        <v>4.5580359082155404</v>
      </c>
      <c r="AD102" s="200">
        <f t="shared" ref="AD102" si="1821">AD99*AD101</f>
        <v>3.097341121970409</v>
      </c>
      <c r="AE102" s="200">
        <f t="shared" ref="AE102" si="1822">AE99*AE101</f>
        <v>1.6171368411357336</v>
      </c>
      <c r="AF102" s="200">
        <f t="shared" ref="AF102" si="1823">AF99*AF101</f>
        <v>0.11714057826635528</v>
      </c>
      <c r="AG102" s="200">
        <f t="shared" ref="AG102" si="1824">AG99*AG101</f>
        <v>0</v>
      </c>
      <c r="AH102" s="200">
        <f t="shared" ref="AH102" si="1825">AH99*AH101</f>
        <v>0</v>
      </c>
      <c r="AI102" s="200">
        <f t="shared" ref="AI102" si="1826">AI99*AI101</f>
        <v>0</v>
      </c>
      <c r="AJ102" s="200">
        <f t="shared" ref="AJ102" si="1827">AJ99*AJ101</f>
        <v>0</v>
      </c>
      <c r="AK102" s="200">
        <f t="shared" ref="AK102" si="1828">AK99*AK101</f>
        <v>0</v>
      </c>
      <c r="AL102" s="200">
        <f t="shared" ref="AL102" si="1829">AL99*AL101</f>
        <v>0</v>
      </c>
      <c r="AM102" s="200">
        <f t="shared" ref="AM102" si="1830">AM99*AM101</f>
        <v>0</v>
      </c>
      <c r="AN102" s="200">
        <f t="shared" ref="AN102" si="1831">AN99*AN101</f>
        <v>0</v>
      </c>
      <c r="AO102" s="200">
        <f t="shared" ref="AO102" si="1832">AO99*AO101</f>
        <v>0</v>
      </c>
      <c r="AP102" s="200">
        <f t="shared" ref="AP102" si="1833">AP99*AP101</f>
        <v>0</v>
      </c>
      <c r="AQ102" s="200">
        <f t="shared" ref="AQ102" si="1834">AQ99*AQ101</f>
        <v>0</v>
      </c>
      <c r="AR102" s="200">
        <f t="shared" ref="AR102" si="1835">AR99*AR101</f>
        <v>0</v>
      </c>
      <c r="AS102" s="200">
        <f t="shared" ref="AS102" si="1836">AS99*AS101</f>
        <v>0</v>
      </c>
      <c r="AT102" s="200">
        <f t="shared" ref="AT102" si="1837">AT99*AT101</f>
        <v>0</v>
      </c>
      <c r="AU102" s="200">
        <f t="shared" ref="AU102" si="1838">AU99*AU101</f>
        <v>0</v>
      </c>
      <c r="AV102" s="200">
        <f t="shared" ref="AV102" si="1839">AV99*AV101</f>
        <v>0</v>
      </c>
      <c r="AW102" s="200">
        <f t="shared" ref="AW102" si="1840">AW99*AW101</f>
        <v>0</v>
      </c>
      <c r="AX102" s="200">
        <f t="shared" ref="AX102" si="1841">AX99*AX101</f>
        <v>0</v>
      </c>
      <c r="AY102" s="200">
        <f t="shared" ref="AY102" si="1842">AY99*AY101</f>
        <v>0</v>
      </c>
      <c r="AZ102" s="200">
        <f t="shared" ref="AZ102" si="1843">AZ99*AZ101</f>
        <v>0</v>
      </c>
      <c r="BA102" s="200">
        <f t="shared" ref="BA102" si="1844">BA99*BA101</f>
        <v>0</v>
      </c>
      <c r="BB102" s="200">
        <f t="shared" ref="BB102" si="1845">BB99*BB101</f>
        <v>0</v>
      </c>
      <c r="BC102" s="200">
        <f t="shared" ref="BC102" si="1846">BC99*BC101</f>
        <v>0</v>
      </c>
      <c r="BD102" s="200">
        <f t="shared" ref="BD102" si="1847">BD99*BD101</f>
        <v>0</v>
      </c>
      <c r="BE102" s="200">
        <f t="shared" ref="BE102" si="1848">BE99*BE101</f>
        <v>0</v>
      </c>
      <c r="BF102" s="200">
        <f t="shared" ref="BF102" si="1849">BF99*BF101</f>
        <v>0</v>
      </c>
      <c r="BG102" s="200">
        <f t="shared" ref="BG102" si="1850">BG99*BG101</f>
        <v>0</v>
      </c>
      <c r="BH102" s="200">
        <f t="shared" ref="BH102" si="1851">BH99*BH101</f>
        <v>0</v>
      </c>
      <c r="BI102" s="200">
        <f t="shared" ref="BI102" si="1852">BI99*BI101</f>
        <v>0</v>
      </c>
      <c r="BJ102" s="200">
        <f t="shared" ref="BJ102" si="1853">BJ99*BJ101</f>
        <v>0</v>
      </c>
      <c r="BK102" s="200">
        <f t="shared" ref="BK102" si="1854">BK99*BK101</f>
        <v>0</v>
      </c>
    </row>
    <row r="103" spans="1:63" ht="7.8" x14ac:dyDescent="0.15">
      <c r="A103" s="206" t="s">
        <v>97</v>
      </c>
      <c r="B103" s="192"/>
      <c r="C103" s="192"/>
      <c r="D103" s="192"/>
      <c r="E103" s="192"/>
      <c r="F103" s="192"/>
      <c r="G103" s="192"/>
      <c r="H103" s="192"/>
      <c r="I103" s="192"/>
      <c r="J103" s="192"/>
      <c r="K103" s="192"/>
      <c r="L103" s="192"/>
      <c r="M103" s="192"/>
      <c r="N103" s="223">
        <f>N100*N101</f>
        <v>127.15935208505736</v>
      </c>
      <c r="O103" s="200">
        <f>O100*O101</f>
        <v>128.9906057042723</v>
      </c>
      <c r="P103" s="200">
        <f t="shared" ref="P103:BK103" si="1855">P100*P101</f>
        <v>130.84823166467098</v>
      </c>
      <c r="Q103" s="200">
        <f t="shared" si="1855"/>
        <v>132.73260976093181</v>
      </c>
      <c r="R103" s="200">
        <f t="shared" si="1855"/>
        <v>80.786475154350867</v>
      </c>
      <c r="S103" s="200">
        <f t="shared" si="1855"/>
        <v>81.949901379667466</v>
      </c>
      <c r="T103" s="200">
        <f t="shared" si="1855"/>
        <v>83.130082396911391</v>
      </c>
      <c r="U103" s="200">
        <f t="shared" si="1855"/>
        <v>84.32725949602991</v>
      </c>
      <c r="V103" s="200">
        <f t="shared" si="1855"/>
        <v>85.541677441847114</v>
      </c>
      <c r="W103" s="200">
        <f t="shared" si="1855"/>
        <v>86.773584524106496</v>
      </c>
      <c r="X103" s="200">
        <f t="shared" si="1855"/>
        <v>88.023232608234295</v>
      </c>
      <c r="Y103" s="200">
        <f t="shared" si="1855"/>
        <v>89.29087718683364</v>
      </c>
      <c r="Z103" s="200">
        <f t="shared" si="1855"/>
        <v>90.576777431920519</v>
      </c>
      <c r="AA103" s="200">
        <f t="shared" si="1855"/>
        <v>91.881196247911973</v>
      </c>
      <c r="AB103" s="200">
        <f t="shared" si="1855"/>
        <v>93.204400325377222</v>
      </c>
      <c r="AC103" s="200">
        <f t="shared" si="1855"/>
        <v>94.546660195563049</v>
      </c>
      <c r="AD103" s="200">
        <f t="shared" si="1855"/>
        <v>95.908250285704398</v>
      </c>
      <c r="AE103" s="200">
        <f t="shared" si="1855"/>
        <v>97.289448975131407</v>
      </c>
      <c r="AF103" s="200">
        <f t="shared" si="1855"/>
        <v>98.690538652184514</v>
      </c>
      <c r="AG103" s="200">
        <f t="shared" si="1855"/>
        <v>0</v>
      </c>
      <c r="AH103" s="200">
        <f t="shared" si="1855"/>
        <v>0</v>
      </c>
      <c r="AI103" s="200">
        <f t="shared" si="1855"/>
        <v>0</v>
      </c>
      <c r="AJ103" s="200">
        <f t="shared" si="1855"/>
        <v>0</v>
      </c>
      <c r="AK103" s="200">
        <f t="shared" si="1855"/>
        <v>0</v>
      </c>
      <c r="AL103" s="200">
        <f t="shared" si="1855"/>
        <v>0</v>
      </c>
      <c r="AM103" s="200">
        <f t="shared" si="1855"/>
        <v>0</v>
      </c>
      <c r="AN103" s="200">
        <f t="shared" si="1855"/>
        <v>0</v>
      </c>
      <c r="AO103" s="200">
        <f t="shared" si="1855"/>
        <v>0</v>
      </c>
      <c r="AP103" s="200">
        <f t="shared" si="1855"/>
        <v>0</v>
      </c>
      <c r="AQ103" s="200">
        <f t="shared" si="1855"/>
        <v>0</v>
      </c>
      <c r="AR103" s="200">
        <f t="shared" si="1855"/>
        <v>0</v>
      </c>
      <c r="AS103" s="200">
        <f t="shared" si="1855"/>
        <v>0</v>
      </c>
      <c r="AT103" s="200">
        <f t="shared" si="1855"/>
        <v>0</v>
      </c>
      <c r="AU103" s="200">
        <f t="shared" si="1855"/>
        <v>0</v>
      </c>
      <c r="AV103" s="200">
        <f t="shared" si="1855"/>
        <v>0</v>
      </c>
      <c r="AW103" s="200">
        <f t="shared" si="1855"/>
        <v>0</v>
      </c>
      <c r="AX103" s="200">
        <f t="shared" si="1855"/>
        <v>0</v>
      </c>
      <c r="AY103" s="200">
        <f t="shared" si="1855"/>
        <v>0</v>
      </c>
      <c r="AZ103" s="200">
        <f t="shared" si="1855"/>
        <v>0</v>
      </c>
      <c r="BA103" s="200">
        <f t="shared" si="1855"/>
        <v>0</v>
      </c>
      <c r="BB103" s="200">
        <f t="shared" si="1855"/>
        <v>0</v>
      </c>
      <c r="BC103" s="200">
        <f t="shared" si="1855"/>
        <v>0</v>
      </c>
      <c r="BD103" s="200">
        <f t="shared" si="1855"/>
        <v>0</v>
      </c>
      <c r="BE103" s="200">
        <f t="shared" si="1855"/>
        <v>0</v>
      </c>
      <c r="BF103" s="200">
        <f t="shared" si="1855"/>
        <v>0</v>
      </c>
      <c r="BG103" s="200">
        <f t="shared" si="1855"/>
        <v>0</v>
      </c>
      <c r="BH103" s="200">
        <f t="shared" si="1855"/>
        <v>0</v>
      </c>
      <c r="BI103" s="200">
        <f t="shared" si="1855"/>
        <v>0</v>
      </c>
      <c r="BJ103" s="200">
        <f t="shared" si="1855"/>
        <v>0</v>
      </c>
      <c r="BK103" s="200">
        <f t="shared" si="1855"/>
        <v>0</v>
      </c>
    </row>
    <row r="104" spans="1:63" ht="7.8" x14ac:dyDescent="0.15">
      <c r="A104" s="208" t="s">
        <v>203</v>
      </c>
      <c r="B104" s="192"/>
      <c r="C104" s="192"/>
      <c r="D104" s="192"/>
      <c r="E104" s="192"/>
      <c r="F104" s="192"/>
      <c r="G104" s="192"/>
      <c r="H104" s="192"/>
      <c r="I104" s="192"/>
      <c r="J104" s="192"/>
      <c r="K104" s="192"/>
      <c r="L104" s="192"/>
      <c r="M104" s="192"/>
      <c r="N104" s="224">
        <f>IF(N96-101&lt;&gt;LoanSaleHeld,0,SUM($D103:N103)*LoanSalePercent)</f>
        <v>0</v>
      </c>
      <c r="O104" s="225">
        <f>IF(O96-101&lt;&gt;LoanSaleHeld,0,SUM($D103:O103)*LoanSalePercent)</f>
        <v>0</v>
      </c>
      <c r="P104" s="225">
        <f>IF(P96-101&lt;&gt;LoanSaleHeld,0,SUM($D103:P103)*LoanSalePercent)</f>
        <v>0</v>
      </c>
      <c r="Q104" s="225">
        <f>IF(Q96-101&lt;&gt;LoanSaleHeld,0,SUM($D103:Q103)*LoanSalePercent)</f>
        <v>207.89231968597301</v>
      </c>
      <c r="R104" s="225">
        <f>IF(R96-101&lt;&gt;LoanSaleHeld,0,SUM($D103:R103)*LoanSalePercent)</f>
        <v>0</v>
      </c>
      <c r="S104" s="225">
        <f>IF(S96-101&lt;&gt;LoanSaleHeld,0,SUM($D103:S103)*LoanSalePercent)</f>
        <v>0</v>
      </c>
      <c r="T104" s="225">
        <f>IF(T96-101&lt;&gt;LoanSaleHeld,0,SUM($D103:T103)*LoanSalePercent)</f>
        <v>0</v>
      </c>
      <c r="U104" s="225">
        <f>IF(U96-101&lt;&gt;LoanSaleHeld,0,SUM($D103:U103)*LoanSalePercent)</f>
        <v>0</v>
      </c>
      <c r="V104" s="225">
        <f>IF(V96-101&lt;&gt;LoanSaleHeld,0,SUM($D103:V103)*LoanSalePercent)</f>
        <v>0</v>
      </c>
      <c r="W104" s="225">
        <f>IF(W96-101&lt;&gt;LoanSaleHeld,0,SUM($D103:W103)*LoanSalePercent)</f>
        <v>0</v>
      </c>
      <c r="X104" s="225">
        <f>IF(X96-101&lt;&gt;LoanSaleHeld,0,SUM($D103:X103)*LoanSalePercent)</f>
        <v>0</v>
      </c>
      <c r="Y104" s="225">
        <f>IF(Y96-101&lt;&gt;LoanSaleHeld,0,SUM($D103:Y103)*LoanSalePercent)</f>
        <v>0</v>
      </c>
      <c r="Z104" s="225">
        <f>IF(Z96-101&lt;&gt;LoanSaleHeld,0,SUM($D103:Z103)*LoanSalePercent)</f>
        <v>0</v>
      </c>
      <c r="AA104" s="225">
        <f>IF(AA96-101&lt;&gt;LoanSaleHeld,0,SUM($D103:AA103)*LoanSalePercent)</f>
        <v>0</v>
      </c>
      <c r="AB104" s="225">
        <f>IF(AB96-101&lt;&gt;LoanSaleHeld,0,SUM($D103:AB103)*LoanSalePercent)</f>
        <v>0</v>
      </c>
      <c r="AC104" s="225">
        <f>IF(AC96-101&lt;&gt;LoanSaleHeld,0,SUM($D103:AC103)*LoanSalePercent)</f>
        <v>0</v>
      </c>
      <c r="AD104" s="225">
        <f>IF(AD96-101&lt;&gt;LoanSaleHeld,0,SUM($D103:AD103)*LoanSalePercent)</f>
        <v>0</v>
      </c>
      <c r="AE104" s="225">
        <f>IF(AE96-101&lt;&gt;LoanSaleHeld,0,SUM($D103:AE103)*LoanSalePercent)</f>
        <v>0</v>
      </c>
      <c r="AF104" s="225">
        <f>IF(AF96-101&lt;&gt;LoanSaleHeld,0,SUM($D103:AF103)*LoanSalePercent)</f>
        <v>0</v>
      </c>
      <c r="AG104" s="225">
        <f>IF(AG96-101&lt;&gt;LoanSaleHeld,0,SUM($D103:AG103)*LoanSalePercent)</f>
        <v>0</v>
      </c>
      <c r="AH104" s="225">
        <f>IF(AH96-101&lt;&gt;LoanSaleHeld,0,SUM($D103:AH103)*LoanSalePercent)</f>
        <v>0</v>
      </c>
      <c r="AI104" s="225">
        <f>IF(AI96-101&lt;&gt;LoanSaleHeld,0,SUM($D103:AI103)*LoanSalePercent)</f>
        <v>0</v>
      </c>
      <c r="AJ104" s="225">
        <f>IF(AJ96-101&lt;&gt;LoanSaleHeld,0,SUM($D103:AJ103)*LoanSalePercent)</f>
        <v>0</v>
      </c>
      <c r="AK104" s="225">
        <f>IF(AK96-101&lt;&gt;LoanSaleHeld,0,SUM($D103:AK103)*LoanSalePercent)</f>
        <v>0</v>
      </c>
      <c r="AL104" s="225">
        <f>IF(AL96-101&lt;&gt;LoanSaleHeld,0,SUM($D103:AL103)*LoanSalePercent)</f>
        <v>0</v>
      </c>
      <c r="AM104" s="225">
        <f>IF(AM96-101&lt;&gt;LoanSaleHeld,0,SUM($D103:AM103)*LoanSalePercent)</f>
        <v>0</v>
      </c>
      <c r="AN104" s="225">
        <f>IF(AN96-101&lt;&gt;LoanSaleHeld,0,SUM($D103:AN103)*LoanSalePercent)</f>
        <v>0</v>
      </c>
      <c r="AO104" s="225">
        <f>IF(AO96-101&lt;&gt;LoanSaleHeld,0,SUM($D103:AO103)*LoanSalePercent)</f>
        <v>0</v>
      </c>
      <c r="AP104" s="225">
        <f>IF(AP96-101&lt;&gt;LoanSaleHeld,0,SUM($D103:AP103)*LoanSalePercent)</f>
        <v>0</v>
      </c>
      <c r="AQ104" s="225">
        <f>IF(AQ96-101&lt;&gt;LoanSaleHeld,0,SUM($D103:AQ103)*LoanSalePercent)</f>
        <v>0</v>
      </c>
      <c r="AR104" s="225">
        <f>IF(AR96-101&lt;&gt;LoanSaleHeld,0,SUM($D103:AR103)*LoanSalePercent)</f>
        <v>0</v>
      </c>
      <c r="AS104" s="225">
        <f>IF(AS96-101&lt;&gt;LoanSaleHeld,0,SUM($D103:AS103)*LoanSalePercent)</f>
        <v>0</v>
      </c>
      <c r="AT104" s="225">
        <f>IF(AT96-101&lt;&gt;LoanSaleHeld,0,SUM($D103:AT103)*LoanSalePercent)</f>
        <v>0</v>
      </c>
      <c r="AU104" s="225">
        <f>IF(AU96-101&lt;&gt;LoanSaleHeld,0,SUM($D103:AU103)*LoanSalePercent)</f>
        <v>0</v>
      </c>
      <c r="AV104" s="225">
        <f>IF(AV96-101&lt;&gt;LoanSaleHeld,0,SUM($D103:AV103)*LoanSalePercent)</f>
        <v>0</v>
      </c>
      <c r="AW104" s="225">
        <f>IF(AW96-101&lt;&gt;LoanSaleHeld,0,SUM($D103:AW103)*LoanSalePercent)</f>
        <v>0</v>
      </c>
      <c r="AX104" s="225">
        <f>IF(AX96-101&lt;&gt;LoanSaleHeld,0,SUM($D103:AX103)*LoanSalePercent)</f>
        <v>0</v>
      </c>
      <c r="AY104" s="225">
        <f>IF(AY96-101&lt;&gt;LoanSaleHeld,0,SUM($D103:AY103)*LoanSalePercent)</f>
        <v>0</v>
      </c>
      <c r="AZ104" s="225">
        <f>IF(AZ96-101&lt;&gt;LoanSaleHeld,0,SUM($D103:AZ103)*LoanSalePercent)</f>
        <v>0</v>
      </c>
      <c r="BA104" s="225">
        <f>IF(BA96-101&lt;&gt;LoanSaleHeld,0,SUM($D103:BA103)*LoanSalePercent)</f>
        <v>0</v>
      </c>
      <c r="BB104" s="225">
        <f>IF(BB96-101&lt;&gt;LoanSaleHeld,0,SUM($D103:BB103)*LoanSalePercent)</f>
        <v>0</v>
      </c>
      <c r="BC104" s="225">
        <f>IF(BC96-101&lt;&gt;LoanSaleHeld,0,SUM($D103:BC103)*LoanSalePercent)</f>
        <v>0</v>
      </c>
      <c r="BD104" s="225">
        <f>IF(BD96-101&lt;&gt;LoanSaleHeld,0,SUM($D103:BD103)*LoanSalePercent)</f>
        <v>0</v>
      </c>
      <c r="BE104" s="225">
        <f>IF(BE96-101&lt;&gt;LoanSaleHeld,0,SUM($D103:BE103)*LoanSalePercent)</f>
        <v>0</v>
      </c>
      <c r="BF104" s="225">
        <f>IF(BF96-101&lt;&gt;LoanSaleHeld,0,SUM($D103:BF103)*LoanSalePercent)</f>
        <v>0</v>
      </c>
      <c r="BG104" s="225">
        <f>IF(BG96-101&lt;&gt;LoanSaleHeld,0,SUM($D103:BG103)*LoanSalePercent)</f>
        <v>0</v>
      </c>
      <c r="BH104" s="225">
        <f>IF(BH96-101&lt;&gt;LoanSaleHeld,0,SUM($D103:BH103)*LoanSalePercent)</f>
        <v>0</v>
      </c>
      <c r="BI104" s="225">
        <f>IF(BI96-101&lt;&gt;LoanSaleHeld,0,SUM($D103:BI103)*LoanSalePercent)</f>
        <v>0</v>
      </c>
      <c r="BJ104" s="225">
        <f>IF(BJ96-101&lt;&gt;LoanSaleHeld,0,SUM($D103:BJ103)*LoanSalePercent)</f>
        <v>0</v>
      </c>
      <c r="BK104" s="225">
        <f>IF(BK96-101&lt;&gt;LoanSaleHeld,0,SUM($D103:BK103)*LoanSalePercent)</f>
        <v>0</v>
      </c>
    </row>
    <row r="105" spans="1:63" ht="7.8" x14ac:dyDescent="0.15">
      <c r="A105" s="204">
        <f t="shared" ref="A105" si="1856">A96+1</f>
        <v>12</v>
      </c>
      <c r="B105" s="192"/>
      <c r="C105" s="192"/>
      <c r="D105" s="192"/>
      <c r="E105" s="192"/>
      <c r="F105" s="192"/>
      <c r="G105" s="192"/>
      <c r="H105" s="192"/>
      <c r="I105" s="192"/>
      <c r="J105" s="192"/>
      <c r="K105" s="192"/>
      <c r="L105" s="192"/>
      <c r="M105" s="192"/>
      <c r="N105" s="192"/>
      <c r="O105" s="195">
        <v>101</v>
      </c>
      <c r="P105" s="196">
        <f t="shared" ref="P105" si="1857">IF(P106=0,0,O105+1)</f>
        <v>102</v>
      </c>
      <c r="Q105" s="196">
        <f t="shared" ref="Q105" si="1858">IF(Q106=0,0,P105+1)</f>
        <v>103</v>
      </c>
      <c r="R105" s="196">
        <f t="shared" ref="R105" si="1859">IF(R106=0,0,Q105+1)</f>
        <v>104</v>
      </c>
      <c r="S105" s="196">
        <f t="shared" ref="S105" si="1860">IF(S106=0,0,R105+1)</f>
        <v>105</v>
      </c>
      <c r="T105" s="196">
        <f t="shared" ref="T105" si="1861">IF(T106=0,0,S105+1)</f>
        <v>106</v>
      </c>
      <c r="U105" s="196">
        <f t="shared" ref="U105" si="1862">IF(U106=0,0,T105+1)</f>
        <v>107</v>
      </c>
      <c r="V105" s="196">
        <f t="shared" ref="V105" si="1863">IF(V106=0,0,U105+1)</f>
        <v>108</v>
      </c>
      <c r="W105" s="196">
        <f t="shared" ref="W105" si="1864">IF(W106=0,0,V105+1)</f>
        <v>109</v>
      </c>
      <c r="X105" s="196">
        <f t="shared" ref="X105" si="1865">IF(X106=0,0,W105+1)</f>
        <v>110</v>
      </c>
      <c r="Y105" s="196">
        <f t="shared" ref="Y105" si="1866">IF(Y106=0,0,X105+1)</f>
        <v>111</v>
      </c>
      <c r="Z105" s="196">
        <f t="shared" ref="Z105" si="1867">IF(Z106=0,0,Y105+1)</f>
        <v>112</v>
      </c>
      <c r="AA105" s="196">
        <f t="shared" ref="AA105" si="1868">IF(AA106=0,0,Z105+1)</f>
        <v>113</v>
      </c>
      <c r="AB105" s="196">
        <f t="shared" ref="AB105" si="1869">IF(AB106=0,0,AA105+1)</f>
        <v>114</v>
      </c>
      <c r="AC105" s="196">
        <f t="shared" ref="AC105" si="1870">IF(AC106=0,0,AB105+1)</f>
        <v>115</v>
      </c>
      <c r="AD105" s="196">
        <f t="shared" ref="AD105" si="1871">IF(AD106=0,0,AC105+1)</f>
        <v>116</v>
      </c>
      <c r="AE105" s="196">
        <f t="shared" ref="AE105" si="1872">IF(AE106=0,0,AD105+1)</f>
        <v>117</v>
      </c>
      <c r="AF105" s="196">
        <f t="shared" ref="AF105" si="1873">IF(AF106=0,0,AE105+1)</f>
        <v>118</v>
      </c>
      <c r="AG105" s="196">
        <f t="shared" ref="AG105" si="1874">IF(AG106=0,0,AF105+1)</f>
        <v>119</v>
      </c>
      <c r="AH105" s="196">
        <f t="shared" ref="AH105" si="1875">IF(AH106=0,0,AG105+1)</f>
        <v>0</v>
      </c>
      <c r="AI105" s="196">
        <f t="shared" ref="AI105" si="1876">IF(AI106=0,0,AH105+1)</f>
        <v>0</v>
      </c>
      <c r="AJ105" s="196">
        <f t="shared" ref="AJ105" si="1877">IF(AJ106=0,0,AI105+1)</f>
        <v>0</v>
      </c>
      <c r="AK105" s="196">
        <f t="shared" ref="AK105" si="1878">IF(AK106=0,0,AJ105+1)</f>
        <v>0</v>
      </c>
      <c r="AL105" s="196">
        <f t="shared" ref="AL105" si="1879">IF(AL106=0,0,AK105+1)</f>
        <v>0</v>
      </c>
      <c r="AM105" s="196">
        <f t="shared" ref="AM105" si="1880">IF(AM106=0,0,AL105+1)</f>
        <v>0</v>
      </c>
      <c r="AN105" s="196">
        <f t="shared" ref="AN105" si="1881">IF(AN106=0,0,AM105+1)</f>
        <v>0</v>
      </c>
      <c r="AO105" s="196">
        <f t="shared" ref="AO105" si="1882">IF(AO106=0,0,AN105+1)</f>
        <v>0</v>
      </c>
      <c r="AP105" s="196">
        <f t="shared" ref="AP105" si="1883">IF(AP106=0,0,AO105+1)</f>
        <v>0</v>
      </c>
      <c r="AQ105" s="196">
        <f t="shared" ref="AQ105" si="1884">IF(AQ106=0,0,AP105+1)</f>
        <v>0</v>
      </c>
      <c r="AR105" s="196">
        <f t="shared" ref="AR105" si="1885">IF(AR106=0,0,AQ105+1)</f>
        <v>0</v>
      </c>
      <c r="AS105" s="196">
        <f t="shared" ref="AS105" si="1886">IF(AS106=0,0,AR105+1)</f>
        <v>0</v>
      </c>
      <c r="AT105" s="196">
        <f t="shared" ref="AT105" si="1887">IF(AT106=0,0,AS105+1)</f>
        <v>0</v>
      </c>
      <c r="AU105" s="196">
        <f t="shared" ref="AU105" si="1888">IF(AU106=0,0,AT105+1)</f>
        <v>0</v>
      </c>
      <c r="AV105" s="196">
        <f t="shared" ref="AV105" si="1889">IF(AV106=0,0,AU105+1)</f>
        <v>0</v>
      </c>
      <c r="AW105" s="196">
        <f t="shared" ref="AW105" si="1890">IF(AW106=0,0,AV105+1)</f>
        <v>0</v>
      </c>
      <c r="AX105" s="196">
        <f t="shared" ref="AX105" si="1891">IF(AX106=0,0,AW105+1)</f>
        <v>0</v>
      </c>
      <c r="AY105" s="196">
        <f t="shared" ref="AY105" si="1892">IF(AY106=0,0,AX105+1)</f>
        <v>0</v>
      </c>
      <c r="AZ105" s="196">
        <f t="shared" ref="AZ105" si="1893">IF(AZ106=0,0,AY105+1)</f>
        <v>0</v>
      </c>
      <c r="BA105" s="196">
        <f t="shared" ref="BA105" si="1894">IF(BA106=0,0,AZ105+1)</f>
        <v>0</v>
      </c>
      <c r="BB105" s="196">
        <f t="shared" ref="BB105" si="1895">IF(BB106=0,0,BA105+1)</f>
        <v>0</v>
      </c>
      <c r="BC105" s="196">
        <f t="shared" ref="BC105" si="1896">IF(BC106=0,0,BB105+1)</f>
        <v>0</v>
      </c>
      <c r="BD105" s="196">
        <f t="shared" ref="BD105" si="1897">IF(BD106=0,0,BC105+1)</f>
        <v>0</v>
      </c>
      <c r="BE105" s="196">
        <f t="shared" ref="BE105" si="1898">IF(BE106=0,0,BD105+1)</f>
        <v>0</v>
      </c>
      <c r="BF105" s="196">
        <f t="shared" ref="BF105" si="1899">IF(BF106=0,0,BE105+1)</f>
        <v>0</v>
      </c>
      <c r="BG105" s="196">
        <f t="shared" ref="BG105" si="1900">IF(BG106=0,0,BF105+1)</f>
        <v>0</v>
      </c>
      <c r="BH105" s="196">
        <f t="shared" ref="BH105" si="1901">IF(BH106=0,0,BG105+1)</f>
        <v>0</v>
      </c>
      <c r="BI105" s="196">
        <f t="shared" ref="BI105" si="1902">IF(BI106=0,0,BH105+1)</f>
        <v>0</v>
      </c>
      <c r="BJ105" s="196">
        <f t="shared" ref="BJ105" si="1903">IF(BJ106=0,0,BI105+1)</f>
        <v>0</v>
      </c>
      <c r="BK105" s="196">
        <f t="shared" ref="BK105" si="1904">IF(BK106=0,0,BJ105+1)</f>
        <v>0</v>
      </c>
    </row>
    <row r="106" spans="1:63" ht="7.8" x14ac:dyDescent="0.15">
      <c r="A106" s="216" t="s">
        <v>178</v>
      </c>
      <c r="B106" s="192"/>
      <c r="C106" s="192"/>
      <c r="D106" s="192"/>
      <c r="E106" s="192"/>
      <c r="F106" s="192"/>
      <c r="G106" s="192"/>
      <c r="H106" s="192"/>
      <c r="I106" s="192"/>
      <c r="J106" s="192"/>
      <c r="K106" s="192"/>
      <c r="L106" s="192"/>
      <c r="M106" s="192"/>
      <c r="N106" s="192"/>
      <c r="O106" s="217">
        <f>LoanSize</f>
        <v>25</v>
      </c>
      <c r="P106" s="215">
        <f>IF(O106-O109&lt;=0.1,0,O106-O109)</f>
        <v>23.79027212253634</v>
      </c>
      <c r="Q106" s="215">
        <f t="shared" ref="Q106:BK106" si="1905">IF(P106-P109&lt;=0.1,0,P106-P109)</f>
        <v>22.56189427362845</v>
      </c>
      <c r="R106" s="215">
        <f t="shared" si="1905"/>
        <v>21.314578932883229</v>
      </c>
      <c r="S106" s="215">
        <f t="shared" si="1905"/>
        <v>20.048034147301522</v>
      </c>
      <c r="T106" s="215">
        <f t="shared" si="1905"/>
        <v>18.761963462942095</v>
      </c>
      <c r="U106" s="215">
        <f t="shared" si="1905"/>
        <v>17.456065855532128</v>
      </c>
      <c r="V106" s="215">
        <f t="shared" si="1905"/>
        <v>16.130035660007923</v>
      </c>
      <c r="W106" s="215">
        <f t="shared" si="1905"/>
        <v>14.783562498969387</v>
      </c>
      <c r="X106" s="215">
        <f t="shared" si="1905"/>
        <v>13.416331210031506</v>
      </c>
      <c r="Y106" s="215">
        <f t="shared" si="1905"/>
        <v>12.028021772055833</v>
      </c>
      <c r="Z106" s="215">
        <f t="shared" si="1905"/>
        <v>10.618309230244702</v>
      </c>
      <c r="AA106" s="215">
        <f t="shared" si="1905"/>
        <v>9.1868636200806488</v>
      </c>
      <c r="AB106" s="215">
        <f t="shared" si="1905"/>
        <v>7.7333498900932334</v>
      </c>
      <c r="AC106" s="215">
        <f t="shared" si="1905"/>
        <v>6.2574278234351794</v>
      </c>
      <c r="AD106" s="215">
        <f t="shared" si="1905"/>
        <v>4.7587519582494799</v>
      </c>
      <c r="AE106" s="215">
        <f t="shared" si="1905"/>
        <v>3.2369715068088345</v>
      </c>
      <c r="AF106" s="215">
        <f t="shared" si="1905"/>
        <v>1.6917302734084789</v>
      </c>
      <c r="AG106" s="215">
        <f t="shared" si="1905"/>
        <v>0.12266657099320111</v>
      </c>
      <c r="AH106" s="215">
        <f t="shared" si="1905"/>
        <v>0</v>
      </c>
      <c r="AI106" s="215">
        <f t="shared" si="1905"/>
        <v>0</v>
      </c>
      <c r="AJ106" s="215">
        <f t="shared" si="1905"/>
        <v>0</v>
      </c>
      <c r="AK106" s="215">
        <f t="shared" si="1905"/>
        <v>0</v>
      </c>
      <c r="AL106" s="215">
        <f t="shared" si="1905"/>
        <v>0</v>
      </c>
      <c r="AM106" s="215">
        <f t="shared" si="1905"/>
        <v>0</v>
      </c>
      <c r="AN106" s="215">
        <f t="shared" si="1905"/>
        <v>0</v>
      </c>
      <c r="AO106" s="215">
        <f t="shared" si="1905"/>
        <v>0</v>
      </c>
      <c r="AP106" s="215">
        <f t="shared" si="1905"/>
        <v>0</v>
      </c>
      <c r="AQ106" s="215">
        <f t="shared" si="1905"/>
        <v>0</v>
      </c>
      <c r="AR106" s="215">
        <f t="shared" si="1905"/>
        <v>0</v>
      </c>
      <c r="AS106" s="215">
        <f t="shared" si="1905"/>
        <v>0</v>
      </c>
      <c r="AT106" s="215">
        <f t="shared" si="1905"/>
        <v>0</v>
      </c>
      <c r="AU106" s="215">
        <f t="shared" si="1905"/>
        <v>0</v>
      </c>
      <c r="AV106" s="215">
        <f t="shared" si="1905"/>
        <v>0</v>
      </c>
      <c r="AW106" s="215">
        <f t="shared" si="1905"/>
        <v>0</v>
      </c>
      <c r="AX106" s="215">
        <f t="shared" si="1905"/>
        <v>0</v>
      </c>
      <c r="AY106" s="215">
        <f t="shared" si="1905"/>
        <v>0</v>
      </c>
      <c r="AZ106" s="215">
        <f t="shared" si="1905"/>
        <v>0</v>
      </c>
      <c r="BA106" s="215">
        <f t="shared" si="1905"/>
        <v>0</v>
      </c>
      <c r="BB106" s="215">
        <f t="shared" si="1905"/>
        <v>0</v>
      </c>
      <c r="BC106" s="215">
        <f t="shared" si="1905"/>
        <v>0</v>
      </c>
      <c r="BD106" s="215">
        <f t="shared" si="1905"/>
        <v>0</v>
      </c>
      <c r="BE106" s="215">
        <f t="shared" si="1905"/>
        <v>0</v>
      </c>
      <c r="BF106" s="215">
        <f t="shared" si="1905"/>
        <v>0</v>
      </c>
      <c r="BG106" s="215">
        <f t="shared" si="1905"/>
        <v>0</v>
      </c>
      <c r="BH106" s="215">
        <f t="shared" si="1905"/>
        <v>0</v>
      </c>
      <c r="BI106" s="215">
        <f t="shared" si="1905"/>
        <v>0</v>
      </c>
      <c r="BJ106" s="215">
        <f t="shared" si="1905"/>
        <v>0</v>
      </c>
      <c r="BK106" s="215">
        <f t="shared" si="1905"/>
        <v>0</v>
      </c>
    </row>
    <row r="107" spans="1:63" ht="7.8" x14ac:dyDescent="0.15">
      <c r="A107" s="218" t="s">
        <v>179</v>
      </c>
      <c r="B107" s="192"/>
      <c r="C107" s="192"/>
      <c r="D107" s="192"/>
      <c r="E107" s="192"/>
      <c r="F107" s="192"/>
      <c r="G107" s="192"/>
      <c r="H107" s="192"/>
      <c r="I107" s="192"/>
      <c r="J107" s="192"/>
      <c r="K107" s="192"/>
      <c r="L107" s="192"/>
      <c r="M107" s="192"/>
      <c r="N107" s="192"/>
      <c r="O107" s="219">
        <f>IF(O106=0,0,PMT(INDEX(LoanCohortRate,1),LoanTerm, -LoanSize))</f>
        <v>1.5951445441303251</v>
      </c>
      <c r="P107" s="222">
        <f t="shared" ref="P107" si="1906">IF(P106=0,0, O107)</f>
        <v>1.5951445441303251</v>
      </c>
      <c r="Q107" s="222">
        <f t="shared" ref="Q107" si="1907">IF(Q106=0,0, P107)</f>
        <v>1.5951445441303251</v>
      </c>
      <c r="R107" s="222">
        <f t="shared" ref="R107" si="1908">IF(R106=0,0, Q107)</f>
        <v>1.5951445441303251</v>
      </c>
      <c r="S107" s="222">
        <f t="shared" ref="S107" si="1909">IF(S106=0,0, R107)</f>
        <v>1.5951445441303251</v>
      </c>
      <c r="T107" s="222">
        <f t="shared" ref="T107" si="1910">IF(T106=0,0, S107)</f>
        <v>1.5951445441303251</v>
      </c>
      <c r="U107" s="222">
        <f t="shared" ref="U107" si="1911">IF(U106=0,0, T107)</f>
        <v>1.5951445441303251</v>
      </c>
      <c r="V107" s="222">
        <f t="shared" ref="V107" si="1912">IF(V106=0,0, U107)</f>
        <v>1.5951445441303251</v>
      </c>
      <c r="W107" s="222">
        <f t="shared" ref="W107" si="1913">IF(W106=0,0, V107)</f>
        <v>1.5951445441303251</v>
      </c>
      <c r="X107" s="222">
        <f t="shared" ref="X107" si="1914">IF(X106=0,0, W107)</f>
        <v>1.5951445441303251</v>
      </c>
      <c r="Y107" s="222">
        <f t="shared" ref="Y107" si="1915">IF(Y106=0,0, X107)</f>
        <v>1.5951445441303251</v>
      </c>
      <c r="Z107" s="222">
        <f t="shared" ref="Z107" si="1916">IF(Z106=0,0, Y107)</f>
        <v>1.5951445441303251</v>
      </c>
      <c r="AA107" s="222">
        <f t="shared" ref="AA107" si="1917">IF(AA106=0,0, Z107)</f>
        <v>1.5951445441303251</v>
      </c>
      <c r="AB107" s="222">
        <f t="shared" ref="AB107" si="1918">IF(AB106=0,0, AA107)</f>
        <v>1.5951445441303251</v>
      </c>
      <c r="AC107" s="222">
        <f t="shared" ref="AC107" si="1919">IF(AC106=0,0, AB107)</f>
        <v>1.5951445441303251</v>
      </c>
      <c r="AD107" s="222">
        <f t="shared" ref="AD107" si="1920">IF(AD106=0,0, AC107)</f>
        <v>1.5951445441303251</v>
      </c>
      <c r="AE107" s="222">
        <f t="shared" ref="AE107" si="1921">IF(AE106=0,0, AD107)</f>
        <v>1.5951445441303251</v>
      </c>
      <c r="AF107" s="222">
        <f t="shared" ref="AF107" si="1922">IF(AF106=0,0, AE107)</f>
        <v>1.5951445441303251</v>
      </c>
      <c r="AG107" s="222">
        <f t="shared" ref="AG107" si="1923">IF(AG106=0,0, AF107)</f>
        <v>1.5951445441303251</v>
      </c>
      <c r="AH107" s="222">
        <f t="shared" ref="AH107" si="1924">IF(AH106=0,0, AG107)</f>
        <v>0</v>
      </c>
      <c r="AI107" s="222">
        <f t="shared" ref="AI107" si="1925">IF(AI106=0,0, AH107)</f>
        <v>0</v>
      </c>
      <c r="AJ107" s="222">
        <f t="shared" ref="AJ107" si="1926">IF(AJ106=0,0, AI107)</f>
        <v>0</v>
      </c>
      <c r="AK107" s="222">
        <f t="shared" ref="AK107" si="1927">IF(AK106=0,0, AJ107)</f>
        <v>0</v>
      </c>
      <c r="AL107" s="222">
        <f t="shared" ref="AL107" si="1928">IF(AL106=0,0, AK107)</f>
        <v>0</v>
      </c>
      <c r="AM107" s="222">
        <f t="shared" ref="AM107" si="1929">IF(AM106=0,0, AL107)</f>
        <v>0</v>
      </c>
      <c r="AN107" s="222">
        <f t="shared" ref="AN107" si="1930">IF(AN106=0,0, AM107)</f>
        <v>0</v>
      </c>
      <c r="AO107" s="222">
        <f t="shared" ref="AO107" si="1931">IF(AO106=0,0, AN107)</f>
        <v>0</v>
      </c>
      <c r="AP107" s="222">
        <f t="shared" ref="AP107" si="1932">IF(AP106=0,0, AO107)</f>
        <v>0</v>
      </c>
      <c r="AQ107" s="222">
        <f t="shared" ref="AQ107" si="1933">IF(AQ106=0,0, AP107)</f>
        <v>0</v>
      </c>
      <c r="AR107" s="222">
        <f t="shared" ref="AR107" si="1934">IF(AR106=0,0, AQ107)</f>
        <v>0</v>
      </c>
      <c r="AS107" s="222">
        <f t="shared" ref="AS107" si="1935">IF(AS106=0,0, AR107)</f>
        <v>0</v>
      </c>
      <c r="AT107" s="222">
        <f t="shared" ref="AT107" si="1936">IF(AT106=0,0, AS107)</f>
        <v>0</v>
      </c>
      <c r="AU107" s="222">
        <f t="shared" ref="AU107" si="1937">IF(AU106=0,0, AT107)</f>
        <v>0</v>
      </c>
      <c r="AV107" s="222">
        <f t="shared" ref="AV107" si="1938">IF(AV106=0,0, AU107)</f>
        <v>0</v>
      </c>
      <c r="AW107" s="222">
        <f t="shared" ref="AW107" si="1939">IF(AW106=0,0, AV107)</f>
        <v>0</v>
      </c>
      <c r="AX107" s="222">
        <f t="shared" ref="AX107" si="1940">IF(AX106=0,0, AW107)</f>
        <v>0</v>
      </c>
      <c r="AY107" s="222">
        <f t="shared" ref="AY107" si="1941">IF(AY106=0,0, AX107)</f>
        <v>0</v>
      </c>
      <c r="AZ107" s="222">
        <f t="shared" ref="AZ107" si="1942">IF(AZ106=0,0, AY107)</f>
        <v>0</v>
      </c>
      <c r="BA107" s="222">
        <f t="shared" ref="BA107" si="1943">IF(BA106=0,0, AZ107)</f>
        <v>0</v>
      </c>
      <c r="BB107" s="222">
        <f t="shared" ref="BB107" si="1944">IF(BB106=0,0, BA107)</f>
        <v>0</v>
      </c>
      <c r="BC107" s="222">
        <f t="shared" ref="BC107" si="1945">IF(BC106=0,0, BB107)</f>
        <v>0</v>
      </c>
      <c r="BD107" s="222">
        <f t="shared" ref="BD107" si="1946">IF(BD106=0,0, BC107)</f>
        <v>0</v>
      </c>
      <c r="BE107" s="222">
        <f t="shared" ref="BE107" si="1947">IF(BE106=0,0, BD107)</f>
        <v>0</v>
      </c>
      <c r="BF107" s="222">
        <f t="shared" ref="BF107" si="1948">IF(BF106=0,0, BE107)</f>
        <v>0</v>
      </c>
      <c r="BG107" s="222">
        <f t="shared" ref="BG107" si="1949">IF(BG106=0,0, BF107)</f>
        <v>0</v>
      </c>
      <c r="BH107" s="222">
        <f t="shared" ref="BH107" si="1950">IF(BH106=0,0, BG107)</f>
        <v>0</v>
      </c>
      <c r="BI107" s="222">
        <f t="shared" ref="BI107" si="1951">IF(BI106=0,0, BH107)</f>
        <v>0</v>
      </c>
      <c r="BJ107" s="222">
        <f t="shared" ref="BJ107" si="1952">IF(BJ106=0,0, BI107)</f>
        <v>0</v>
      </c>
      <c r="BK107" s="222">
        <f t="shared" ref="BK107" si="1953">IF(BK106=0,0, BJ107)</f>
        <v>0</v>
      </c>
    </row>
    <row r="108" spans="1:63" ht="7.8" x14ac:dyDescent="0.15">
      <c r="A108" s="218" t="s">
        <v>180</v>
      </c>
      <c r="B108" s="192"/>
      <c r="C108" s="192"/>
      <c r="D108" s="192"/>
      <c r="E108" s="192"/>
      <c r="F108" s="192"/>
      <c r="G108" s="192"/>
      <c r="H108" s="192"/>
      <c r="I108" s="192"/>
      <c r="J108" s="192"/>
      <c r="K108" s="192"/>
      <c r="L108" s="192"/>
      <c r="M108" s="192"/>
      <c r="N108" s="192"/>
      <c r="O108" s="220" cm="1">
        <f t="array" ref="O108">O106*INDEX(LoanCohortRate,$A105)</f>
        <v>0.38541666666666669</v>
      </c>
      <c r="P108" s="221" cm="1">
        <f t="array" ref="P108">P106*INDEX(LoanCohortRate,$A105)</f>
        <v>0.36676669522243527</v>
      </c>
      <c r="Q108" s="221" cm="1">
        <f t="array" ref="Q108">Q106*INDEX(LoanCohortRate,$A105)</f>
        <v>0.34782920338510526</v>
      </c>
      <c r="R108" s="221" cm="1">
        <f t="array" ref="R108">R106*INDEX(LoanCohortRate,$A105)</f>
        <v>0.32859975854861645</v>
      </c>
      <c r="S108" s="221" cm="1">
        <f t="array" ref="S108">S106*INDEX(LoanCohortRate,$A105)</f>
        <v>0.30907385977089846</v>
      </c>
      <c r="T108" s="221" cm="1">
        <f t="array" ref="T108">T106*INDEX(LoanCohortRate,$A105)</f>
        <v>0.28924693672035728</v>
      </c>
      <c r="U108" s="221" cm="1">
        <f t="array" ref="U108">U106*INDEX(LoanCohortRate,$A105)</f>
        <v>0.26911434860612032</v>
      </c>
      <c r="V108" s="221" cm="1">
        <f t="array" ref="V108">V106*INDEX(LoanCohortRate,$A105)</f>
        <v>0.24867138309178882</v>
      </c>
      <c r="W108" s="221" cm="1">
        <f t="array" ref="W108">W106*INDEX(LoanCohortRate,$A105)</f>
        <v>0.22791325519244471</v>
      </c>
      <c r="X108" s="221" cm="1">
        <f t="array" ref="X108">X106*INDEX(LoanCohortRate,$A105)</f>
        <v>0.20683510615465239</v>
      </c>
      <c r="Y108" s="221" cm="1">
        <f t="array" ref="Y108">Y106*INDEX(LoanCohortRate,$A105)</f>
        <v>0.1854320023191941</v>
      </c>
      <c r="Z108" s="221" cm="1">
        <f t="array" ref="Z108">Z106*INDEX(LoanCohortRate,$A105)</f>
        <v>0.1636989339662725</v>
      </c>
      <c r="AA108" s="221" cm="1">
        <f t="array" ref="AA108">AA106*INDEX(LoanCohortRate,$A105)</f>
        <v>0.14163081414291001</v>
      </c>
      <c r="AB108" s="221" cm="1">
        <f t="array" ref="AB108">AB106*INDEX(LoanCohortRate,$A105)</f>
        <v>0.11922247747227069</v>
      </c>
      <c r="AC108" s="221" cm="1">
        <f t="array" ref="AC108">AC106*INDEX(LoanCohortRate,$A105)</f>
        <v>9.6468678944625685E-2</v>
      </c>
      <c r="AD108" s="221" cm="1">
        <f t="array" ref="AD108">AD106*INDEX(LoanCohortRate,$A105)</f>
        <v>7.3364092689679486E-2</v>
      </c>
      <c r="AE108" s="221" cm="1">
        <f t="array" ref="AE108">AE106*INDEX(LoanCohortRate,$A105)</f>
        <v>4.9903310729969536E-2</v>
      </c>
      <c r="AF108" s="221" cm="1">
        <f t="array" ref="AF108">AF106*INDEX(LoanCohortRate,$A105)</f>
        <v>2.6080841715047383E-2</v>
      </c>
      <c r="AG108" s="221" cm="1">
        <f t="array" ref="AG108">AG106*INDEX(LoanCohortRate,$A105)</f>
        <v>1.8911096361451838E-3</v>
      </c>
      <c r="AH108" s="221" cm="1">
        <f t="array" ref="AH108">AH106*INDEX(LoanCohortRate,$A105)</f>
        <v>0</v>
      </c>
      <c r="AI108" s="221" cm="1">
        <f t="array" ref="AI108">AI106*INDEX(LoanCohortRate,$A105)</f>
        <v>0</v>
      </c>
      <c r="AJ108" s="221" cm="1">
        <f t="array" ref="AJ108">AJ106*INDEX(LoanCohortRate,$A105)</f>
        <v>0</v>
      </c>
      <c r="AK108" s="221" cm="1">
        <f t="array" ref="AK108">AK106*INDEX(LoanCohortRate,$A105)</f>
        <v>0</v>
      </c>
      <c r="AL108" s="221" cm="1">
        <f t="array" ref="AL108">AL106*INDEX(LoanCohortRate,$A105)</f>
        <v>0</v>
      </c>
      <c r="AM108" s="221" cm="1">
        <f t="array" ref="AM108">AM106*INDEX(LoanCohortRate,$A105)</f>
        <v>0</v>
      </c>
      <c r="AN108" s="221" cm="1">
        <f t="array" ref="AN108">AN106*INDEX(LoanCohortRate,$A105)</f>
        <v>0</v>
      </c>
      <c r="AO108" s="221" cm="1">
        <f t="array" ref="AO108">AO106*INDEX(LoanCohortRate,$A105)</f>
        <v>0</v>
      </c>
      <c r="AP108" s="221" cm="1">
        <f t="array" ref="AP108">AP106*INDEX(LoanCohortRate,$A105)</f>
        <v>0</v>
      </c>
      <c r="AQ108" s="221" cm="1">
        <f t="array" ref="AQ108">AQ106*INDEX(LoanCohortRate,$A105)</f>
        <v>0</v>
      </c>
      <c r="AR108" s="221" cm="1">
        <f t="array" ref="AR108">AR106*INDEX(LoanCohortRate,$A105)</f>
        <v>0</v>
      </c>
      <c r="AS108" s="221" cm="1">
        <f t="array" ref="AS108">AS106*INDEX(LoanCohortRate,$A105)</f>
        <v>0</v>
      </c>
      <c r="AT108" s="221" cm="1">
        <f t="array" ref="AT108">AT106*INDEX(LoanCohortRate,$A105)</f>
        <v>0</v>
      </c>
      <c r="AU108" s="221" cm="1">
        <f t="array" ref="AU108">AU106*INDEX(LoanCohortRate,$A105)</f>
        <v>0</v>
      </c>
      <c r="AV108" s="221" cm="1">
        <f t="array" ref="AV108">AV106*INDEX(LoanCohortRate,$A105)</f>
        <v>0</v>
      </c>
      <c r="AW108" s="221" cm="1">
        <f t="array" ref="AW108">AW106*INDEX(LoanCohortRate,$A105)</f>
        <v>0</v>
      </c>
      <c r="AX108" s="221" cm="1">
        <f t="array" ref="AX108">AX106*INDEX(LoanCohortRate,$A105)</f>
        <v>0</v>
      </c>
      <c r="AY108" s="221" cm="1">
        <f t="array" ref="AY108">AY106*INDEX(LoanCohortRate,$A105)</f>
        <v>0</v>
      </c>
      <c r="AZ108" s="221" cm="1">
        <f t="array" ref="AZ108">AZ106*INDEX(LoanCohortRate,$A105)</f>
        <v>0</v>
      </c>
      <c r="BA108" s="221" cm="1">
        <f t="array" ref="BA108">BA106*INDEX(LoanCohortRate,$A105)</f>
        <v>0</v>
      </c>
      <c r="BB108" s="221" cm="1">
        <f t="array" ref="BB108">BB106*INDEX(LoanCohortRate,$A105)</f>
        <v>0</v>
      </c>
      <c r="BC108" s="221" cm="1">
        <f t="array" ref="BC108">BC106*INDEX(LoanCohortRate,$A105)</f>
        <v>0</v>
      </c>
      <c r="BD108" s="221" cm="1">
        <f t="array" ref="BD108">BD106*INDEX(LoanCohortRate,$A105)</f>
        <v>0</v>
      </c>
      <c r="BE108" s="221" cm="1">
        <f t="array" ref="BE108">BE106*INDEX(LoanCohortRate,$A105)</f>
        <v>0</v>
      </c>
      <c r="BF108" s="221" cm="1">
        <f t="array" ref="BF108">BF106*INDEX(LoanCohortRate,$A105)</f>
        <v>0</v>
      </c>
      <c r="BG108" s="221" cm="1">
        <f t="array" ref="BG108">BG106*INDEX(LoanCohortRate,$A105)</f>
        <v>0</v>
      </c>
      <c r="BH108" s="221" cm="1">
        <f t="array" ref="BH108">BH106*INDEX(LoanCohortRate,$A105)</f>
        <v>0</v>
      </c>
      <c r="BI108" s="221" cm="1">
        <f t="array" ref="BI108">BI106*INDEX(LoanCohortRate,$A105)</f>
        <v>0</v>
      </c>
      <c r="BJ108" s="221" cm="1">
        <f t="array" ref="BJ108">BJ106*INDEX(LoanCohortRate,$A105)</f>
        <v>0</v>
      </c>
      <c r="BK108" s="221" cm="1">
        <f t="array" ref="BK108">BK106*INDEX(LoanCohortRate,$A105)</f>
        <v>0</v>
      </c>
    </row>
    <row r="109" spans="1:63" ht="7.8" x14ac:dyDescent="0.15">
      <c r="A109" s="218" t="s">
        <v>177</v>
      </c>
      <c r="B109" s="192"/>
      <c r="C109" s="192"/>
      <c r="D109" s="192"/>
      <c r="E109" s="192"/>
      <c r="F109" s="192"/>
      <c r="G109" s="192"/>
      <c r="H109" s="192"/>
      <c r="I109" s="192"/>
      <c r="J109" s="192"/>
      <c r="K109" s="192"/>
      <c r="L109" s="192"/>
      <c r="M109" s="192"/>
      <c r="N109" s="192"/>
      <c r="O109" s="219">
        <f>O107-O108</f>
        <v>1.2097278774636584</v>
      </c>
      <c r="P109" s="222">
        <f t="shared" ref="P109:BK109" si="1954">P107-P108</f>
        <v>1.2283778489078898</v>
      </c>
      <c r="Q109" s="222">
        <f t="shared" si="1954"/>
        <v>1.24731534074522</v>
      </c>
      <c r="R109" s="222">
        <f t="shared" si="1954"/>
        <v>1.2665447855817087</v>
      </c>
      <c r="S109" s="222">
        <f t="shared" si="1954"/>
        <v>1.2860706843594267</v>
      </c>
      <c r="T109" s="222">
        <f t="shared" si="1954"/>
        <v>1.305897607409968</v>
      </c>
      <c r="U109" s="222">
        <f t="shared" si="1954"/>
        <v>1.3260301955242049</v>
      </c>
      <c r="V109" s="222">
        <f t="shared" si="1954"/>
        <v>1.3464731610385363</v>
      </c>
      <c r="W109" s="222">
        <f t="shared" si="1954"/>
        <v>1.3672312889378804</v>
      </c>
      <c r="X109" s="222">
        <f t="shared" si="1954"/>
        <v>1.3883094379756726</v>
      </c>
      <c r="Y109" s="222">
        <f t="shared" si="1954"/>
        <v>1.4097125418111309</v>
      </c>
      <c r="Z109" s="222">
        <f t="shared" si="1954"/>
        <v>1.4314456101640527</v>
      </c>
      <c r="AA109" s="222">
        <f t="shared" si="1954"/>
        <v>1.453513729987415</v>
      </c>
      <c r="AB109" s="222">
        <f t="shared" si="1954"/>
        <v>1.4759220666580544</v>
      </c>
      <c r="AC109" s="222">
        <f t="shared" si="1954"/>
        <v>1.4986758651856995</v>
      </c>
      <c r="AD109" s="222">
        <f t="shared" si="1954"/>
        <v>1.5217804514406457</v>
      </c>
      <c r="AE109" s="222">
        <f t="shared" si="1954"/>
        <v>1.5452412334003556</v>
      </c>
      <c r="AF109" s="222">
        <f t="shared" si="1954"/>
        <v>1.5690637024152778</v>
      </c>
      <c r="AG109" s="222">
        <f t="shared" si="1954"/>
        <v>1.59325343449418</v>
      </c>
      <c r="AH109" s="222">
        <f t="shared" si="1954"/>
        <v>0</v>
      </c>
      <c r="AI109" s="222">
        <f t="shared" si="1954"/>
        <v>0</v>
      </c>
      <c r="AJ109" s="222">
        <f t="shared" si="1954"/>
        <v>0</v>
      </c>
      <c r="AK109" s="222">
        <f t="shared" si="1954"/>
        <v>0</v>
      </c>
      <c r="AL109" s="222">
        <f t="shared" si="1954"/>
        <v>0</v>
      </c>
      <c r="AM109" s="222">
        <f t="shared" si="1954"/>
        <v>0</v>
      </c>
      <c r="AN109" s="222">
        <f t="shared" si="1954"/>
        <v>0</v>
      </c>
      <c r="AO109" s="222">
        <f t="shared" si="1954"/>
        <v>0</v>
      </c>
      <c r="AP109" s="222">
        <f t="shared" si="1954"/>
        <v>0</v>
      </c>
      <c r="AQ109" s="222">
        <f t="shared" si="1954"/>
        <v>0</v>
      </c>
      <c r="AR109" s="222">
        <f t="shared" si="1954"/>
        <v>0</v>
      </c>
      <c r="AS109" s="222">
        <f t="shared" si="1954"/>
        <v>0</v>
      </c>
      <c r="AT109" s="222">
        <f t="shared" si="1954"/>
        <v>0</v>
      </c>
      <c r="AU109" s="222">
        <f t="shared" si="1954"/>
        <v>0</v>
      </c>
      <c r="AV109" s="222">
        <f t="shared" si="1954"/>
        <v>0</v>
      </c>
      <c r="AW109" s="222">
        <f t="shared" si="1954"/>
        <v>0</v>
      </c>
      <c r="AX109" s="222">
        <f t="shared" si="1954"/>
        <v>0</v>
      </c>
      <c r="AY109" s="222">
        <f t="shared" si="1954"/>
        <v>0</v>
      </c>
      <c r="AZ109" s="222">
        <f t="shared" si="1954"/>
        <v>0</v>
      </c>
      <c r="BA109" s="222">
        <f t="shared" si="1954"/>
        <v>0</v>
      </c>
      <c r="BB109" s="222">
        <f t="shared" si="1954"/>
        <v>0</v>
      </c>
      <c r="BC109" s="222">
        <f t="shared" si="1954"/>
        <v>0</v>
      </c>
      <c r="BD109" s="222">
        <f t="shared" si="1954"/>
        <v>0</v>
      </c>
      <c r="BE109" s="222">
        <f t="shared" si="1954"/>
        <v>0</v>
      </c>
      <c r="BF109" s="222">
        <f t="shared" si="1954"/>
        <v>0</v>
      </c>
      <c r="BG109" s="222">
        <f t="shared" si="1954"/>
        <v>0</v>
      </c>
      <c r="BH109" s="222">
        <f t="shared" si="1954"/>
        <v>0</v>
      </c>
      <c r="BI109" s="222">
        <f t="shared" si="1954"/>
        <v>0</v>
      </c>
      <c r="BJ109" s="222">
        <f t="shared" si="1954"/>
        <v>0</v>
      </c>
      <c r="BK109" s="222">
        <f t="shared" si="1954"/>
        <v>0</v>
      </c>
    </row>
    <row r="110" spans="1:63" ht="7.8" x14ac:dyDescent="0.15">
      <c r="A110" s="205" t="s">
        <v>7</v>
      </c>
      <c r="B110" s="192"/>
      <c r="C110" s="192"/>
      <c r="D110" s="192"/>
      <c r="E110" s="192"/>
      <c r="F110" s="192"/>
      <c r="G110" s="192"/>
      <c r="H110" s="192"/>
      <c r="I110" s="192"/>
      <c r="J110" s="192"/>
      <c r="K110" s="192"/>
      <c r="L110" s="192"/>
      <c r="M110" s="192"/>
      <c r="N110" s="192"/>
      <c r="O110" s="214" cm="1">
        <f t="array" ref="O110">INDEX(LoanOriginations,$A105)</f>
        <v>105.63958327009931</v>
      </c>
      <c r="P110" s="199">
        <f t="shared" ref="P110:BK110" si="1955">O110*(1-MitigateDelinquency*MitigateChargeoff)  *  IF(P105=0,0,IF(P105-102=LoanSaleHeld,0.6,1))</f>
        <v>105.5339436868292</v>
      </c>
      <c r="Q110" s="199">
        <f t="shared" si="1955"/>
        <v>105.42840974314238</v>
      </c>
      <c r="R110" s="199">
        <f t="shared" si="1955"/>
        <v>105.32298133339924</v>
      </c>
      <c r="S110" s="199">
        <f t="shared" si="1955"/>
        <v>63.1305950112395</v>
      </c>
      <c r="T110" s="199">
        <f t="shared" si="1955"/>
        <v>63.067464416228262</v>
      </c>
      <c r="U110" s="199">
        <f t="shared" si="1955"/>
        <v>63.004396951812033</v>
      </c>
      <c r="V110" s="199">
        <f t="shared" si="1955"/>
        <v>62.941392554860222</v>
      </c>
      <c r="W110" s="199">
        <f t="shared" si="1955"/>
        <v>62.87845116230536</v>
      </c>
      <c r="X110" s="199">
        <f t="shared" si="1955"/>
        <v>62.815572711143055</v>
      </c>
      <c r="Y110" s="199">
        <f t="shared" si="1955"/>
        <v>62.75275713843191</v>
      </c>
      <c r="Z110" s="199">
        <f t="shared" si="1955"/>
        <v>62.690004381293477</v>
      </c>
      <c r="AA110" s="199">
        <f t="shared" si="1955"/>
        <v>62.627314376912182</v>
      </c>
      <c r="AB110" s="199">
        <f t="shared" si="1955"/>
        <v>62.56468706253527</v>
      </c>
      <c r="AC110" s="199">
        <f t="shared" si="1955"/>
        <v>62.502122375472737</v>
      </c>
      <c r="AD110" s="199">
        <f t="shared" si="1955"/>
        <v>62.439620253097267</v>
      </c>
      <c r="AE110" s="199">
        <f t="shared" si="1955"/>
        <v>62.377180632844173</v>
      </c>
      <c r="AF110" s="199">
        <f t="shared" si="1955"/>
        <v>62.314803452211329</v>
      </c>
      <c r="AG110" s="199">
        <f t="shared" si="1955"/>
        <v>62.252488648759119</v>
      </c>
      <c r="AH110" s="199">
        <f t="shared" si="1955"/>
        <v>0</v>
      </c>
      <c r="AI110" s="199">
        <f t="shared" si="1955"/>
        <v>0</v>
      </c>
      <c r="AJ110" s="199">
        <f t="shared" si="1955"/>
        <v>0</v>
      </c>
      <c r="AK110" s="199">
        <f t="shared" si="1955"/>
        <v>0</v>
      </c>
      <c r="AL110" s="199">
        <f t="shared" si="1955"/>
        <v>0</v>
      </c>
      <c r="AM110" s="199">
        <f t="shared" si="1955"/>
        <v>0</v>
      </c>
      <c r="AN110" s="199">
        <f t="shared" si="1955"/>
        <v>0</v>
      </c>
      <c r="AO110" s="199">
        <f t="shared" si="1955"/>
        <v>0</v>
      </c>
      <c r="AP110" s="199">
        <f t="shared" si="1955"/>
        <v>0</v>
      </c>
      <c r="AQ110" s="199">
        <f t="shared" si="1955"/>
        <v>0</v>
      </c>
      <c r="AR110" s="199">
        <f t="shared" si="1955"/>
        <v>0</v>
      </c>
      <c r="AS110" s="199">
        <f t="shared" si="1955"/>
        <v>0</v>
      </c>
      <c r="AT110" s="199">
        <f t="shared" si="1955"/>
        <v>0</v>
      </c>
      <c r="AU110" s="199">
        <f t="shared" si="1955"/>
        <v>0</v>
      </c>
      <c r="AV110" s="199">
        <f t="shared" si="1955"/>
        <v>0</v>
      </c>
      <c r="AW110" s="199">
        <f t="shared" si="1955"/>
        <v>0</v>
      </c>
      <c r="AX110" s="199">
        <f t="shared" si="1955"/>
        <v>0</v>
      </c>
      <c r="AY110" s="199">
        <f t="shared" si="1955"/>
        <v>0</v>
      </c>
      <c r="AZ110" s="199">
        <f t="shared" si="1955"/>
        <v>0</v>
      </c>
      <c r="BA110" s="199">
        <f t="shared" si="1955"/>
        <v>0</v>
      </c>
      <c r="BB110" s="199">
        <f t="shared" si="1955"/>
        <v>0</v>
      </c>
      <c r="BC110" s="199">
        <f t="shared" si="1955"/>
        <v>0</v>
      </c>
      <c r="BD110" s="199">
        <f t="shared" si="1955"/>
        <v>0</v>
      </c>
      <c r="BE110" s="199">
        <f t="shared" si="1955"/>
        <v>0</v>
      </c>
      <c r="BF110" s="199">
        <f t="shared" si="1955"/>
        <v>0</v>
      </c>
      <c r="BG110" s="199">
        <f t="shared" si="1955"/>
        <v>0</v>
      </c>
      <c r="BH110" s="199">
        <f t="shared" si="1955"/>
        <v>0</v>
      </c>
      <c r="BI110" s="199">
        <f t="shared" si="1955"/>
        <v>0</v>
      </c>
      <c r="BJ110" s="199">
        <f t="shared" si="1955"/>
        <v>0</v>
      </c>
      <c r="BK110" s="199">
        <f t="shared" si="1955"/>
        <v>0</v>
      </c>
    </row>
    <row r="111" spans="1:63" ht="7.8" x14ac:dyDescent="0.15">
      <c r="A111" s="207" t="s">
        <v>96</v>
      </c>
      <c r="B111" s="192"/>
      <c r="C111" s="192"/>
      <c r="D111" s="192"/>
      <c r="E111" s="192"/>
      <c r="F111" s="192"/>
      <c r="G111" s="192"/>
      <c r="H111" s="192"/>
      <c r="I111" s="192"/>
      <c r="J111" s="192"/>
      <c r="K111" s="192"/>
      <c r="L111" s="192"/>
      <c r="M111" s="192"/>
      <c r="N111" s="192"/>
      <c r="O111" s="223">
        <f>O108*O110</f>
        <v>40.715256052017445</v>
      </c>
      <c r="P111" s="200">
        <f t="shared" ref="P111" si="1956">P108*P110</f>
        <v>38.706335759808937</v>
      </c>
      <c r="Q111" s="200">
        <f t="shared" ref="Q111" si="1957">Q108*Q110</f>
        <v>36.671079775115686</v>
      </c>
      <c r="R111" s="200">
        <f t="shared" ref="R111" si="1958">R108*R110</f>
        <v>34.609106235775428</v>
      </c>
      <c r="S111" s="200">
        <f t="shared" ref="S111" si="1959">S108*S110</f>
        <v>19.512016669757219</v>
      </c>
      <c r="T111" s="200">
        <f t="shared" ref="T111" si="1960">T108*T110</f>
        <v>18.24207088911416</v>
      </c>
      <c r="U111" s="200">
        <f t="shared" ref="U111" si="1961">U108*U110</f>
        <v>16.955387245008328</v>
      </c>
      <c r="V111" s="200">
        <f t="shared" ref="V111" si="1962">V108*V110</f>
        <v>15.651723140340311</v>
      </c>
      <c r="W111" s="200">
        <f t="shared" ref="W111" si="1963">W108*W110</f>
        <v>14.330832485860173</v>
      </c>
      <c r="X111" s="200">
        <f t="shared" ref="X111" si="1964">X108*X110</f>
        <v>12.992465649874561</v>
      </c>
      <c r="Y111" s="200">
        <f t="shared" ref="Y111" si="1965">Y108*Y110</f>
        <v>11.63636940722953</v>
      </c>
      <c r="Z111" s="200">
        <f t="shared" ref="Z111" si="1966">Z108*Z110</f>
        <v>10.262286887558695</v>
      </c>
      <c r="AA111" s="200">
        <f t="shared" ref="AA111" si="1967">AA108*AA110</f>
        <v>8.869957522786045</v>
      </c>
      <c r="AB111" s="200">
        <f t="shared" ref="AB111" si="1968">AB108*AB110</f>
        <v>7.4591169938727768</v>
      </c>
      <c r="AC111" s="200">
        <f t="shared" ref="AC111" si="1969">AC108*AC110</f>
        <v>6.029497176797185</v>
      </c>
      <c r="AD111" s="200">
        <f t="shared" ref="AD111" si="1970">AD108*AD110</f>
        <v>4.5808260877566163</v>
      </c>
      <c r="AE111" s="200">
        <f t="shared" ref="AE111" si="1971">AE108*AE110</f>
        <v>3.1128278275802606</v>
      </c>
      <c r="AF111" s="200">
        <f t="shared" ref="AF111" si="1972">AF108*AF110</f>
        <v>1.6252225253414119</v>
      </c>
      <c r="AG111" s="200">
        <f t="shared" ref="AG111" si="1973">AG108*AG110</f>
        <v>0.11772628115768705</v>
      </c>
      <c r="AH111" s="200">
        <f t="shared" ref="AH111" si="1974">AH108*AH110</f>
        <v>0</v>
      </c>
      <c r="AI111" s="200">
        <f t="shared" ref="AI111" si="1975">AI108*AI110</f>
        <v>0</v>
      </c>
      <c r="AJ111" s="200">
        <f t="shared" ref="AJ111" si="1976">AJ108*AJ110</f>
        <v>0</v>
      </c>
      <c r="AK111" s="200">
        <f t="shared" ref="AK111" si="1977">AK108*AK110</f>
        <v>0</v>
      </c>
      <c r="AL111" s="200">
        <f t="shared" ref="AL111" si="1978">AL108*AL110</f>
        <v>0</v>
      </c>
      <c r="AM111" s="200">
        <f t="shared" ref="AM111" si="1979">AM108*AM110</f>
        <v>0</v>
      </c>
      <c r="AN111" s="200">
        <f t="shared" ref="AN111" si="1980">AN108*AN110</f>
        <v>0</v>
      </c>
      <c r="AO111" s="200">
        <f t="shared" ref="AO111" si="1981">AO108*AO110</f>
        <v>0</v>
      </c>
      <c r="AP111" s="200">
        <f t="shared" ref="AP111" si="1982">AP108*AP110</f>
        <v>0</v>
      </c>
      <c r="AQ111" s="200">
        <f t="shared" ref="AQ111" si="1983">AQ108*AQ110</f>
        <v>0</v>
      </c>
      <c r="AR111" s="200">
        <f t="shared" ref="AR111" si="1984">AR108*AR110</f>
        <v>0</v>
      </c>
      <c r="AS111" s="200">
        <f t="shared" ref="AS111" si="1985">AS108*AS110</f>
        <v>0</v>
      </c>
      <c r="AT111" s="200">
        <f t="shared" ref="AT111" si="1986">AT108*AT110</f>
        <v>0</v>
      </c>
      <c r="AU111" s="200">
        <f t="shared" ref="AU111" si="1987">AU108*AU110</f>
        <v>0</v>
      </c>
      <c r="AV111" s="200">
        <f t="shared" ref="AV111" si="1988">AV108*AV110</f>
        <v>0</v>
      </c>
      <c r="AW111" s="200">
        <f t="shared" ref="AW111" si="1989">AW108*AW110</f>
        <v>0</v>
      </c>
      <c r="AX111" s="200">
        <f t="shared" ref="AX111" si="1990">AX108*AX110</f>
        <v>0</v>
      </c>
      <c r="AY111" s="200">
        <f t="shared" ref="AY111" si="1991">AY108*AY110</f>
        <v>0</v>
      </c>
      <c r="AZ111" s="200">
        <f t="shared" ref="AZ111" si="1992">AZ108*AZ110</f>
        <v>0</v>
      </c>
      <c r="BA111" s="200">
        <f t="shared" ref="BA111" si="1993">BA108*BA110</f>
        <v>0</v>
      </c>
      <c r="BB111" s="200">
        <f t="shared" ref="BB111" si="1994">BB108*BB110</f>
        <v>0</v>
      </c>
      <c r="BC111" s="200">
        <f t="shared" ref="BC111" si="1995">BC108*BC110</f>
        <v>0</v>
      </c>
      <c r="BD111" s="200">
        <f t="shared" ref="BD111" si="1996">BD108*BD110</f>
        <v>0</v>
      </c>
      <c r="BE111" s="200">
        <f t="shared" ref="BE111" si="1997">BE108*BE110</f>
        <v>0</v>
      </c>
      <c r="BF111" s="200">
        <f t="shared" ref="BF111" si="1998">BF108*BF110</f>
        <v>0</v>
      </c>
      <c r="BG111" s="200">
        <f t="shared" ref="BG111" si="1999">BG108*BG110</f>
        <v>0</v>
      </c>
      <c r="BH111" s="200">
        <f t="shared" ref="BH111" si="2000">BH108*BH110</f>
        <v>0</v>
      </c>
      <c r="BI111" s="200">
        <f t="shared" ref="BI111" si="2001">BI108*BI110</f>
        <v>0</v>
      </c>
      <c r="BJ111" s="200">
        <f t="shared" ref="BJ111" si="2002">BJ108*BJ110</f>
        <v>0</v>
      </c>
      <c r="BK111" s="200">
        <f t="shared" ref="BK111" si="2003">BK108*BK110</f>
        <v>0</v>
      </c>
    </row>
    <row r="112" spans="1:63" ht="7.8" x14ac:dyDescent="0.15">
      <c r="A112" s="206" t="s">
        <v>97</v>
      </c>
      <c r="B112" s="192"/>
      <c r="C112" s="192"/>
      <c r="D112" s="192"/>
      <c r="E112" s="192"/>
      <c r="F112" s="192"/>
      <c r="G112" s="192"/>
      <c r="H112" s="192"/>
      <c r="I112" s="192"/>
      <c r="J112" s="192"/>
      <c r="K112" s="192"/>
      <c r="L112" s="192"/>
      <c r="M112" s="192"/>
      <c r="N112" s="192"/>
      <c r="O112" s="223">
        <f>O109*O110</f>
        <v>127.79514884548263</v>
      </c>
      <c r="P112" s="200">
        <f>P109*P110</f>
        <v>129.63555873279364</v>
      </c>
      <c r="Q112" s="200">
        <f t="shared" ref="Q112:BK112" si="2004">Q109*Q110</f>
        <v>131.50247282299432</v>
      </c>
      <c r="R112" s="200">
        <f t="shared" si="2004"/>
        <v>133.39627280973644</v>
      </c>
      <c r="S112" s="200">
        <f t="shared" si="2004"/>
        <v>81.190407530122599</v>
      </c>
      <c r="T112" s="200">
        <f t="shared" si="2004"/>
        <v>82.359650886565774</v>
      </c>
      <c r="U112" s="200">
        <f t="shared" si="2004"/>
        <v>83.545732808895934</v>
      </c>
      <c r="V112" s="200">
        <f t="shared" si="2004"/>
        <v>84.748895793510044</v>
      </c>
      <c r="W112" s="200">
        <f t="shared" si="2004"/>
        <v>85.969385829056321</v>
      </c>
      <c r="X112" s="200">
        <f t="shared" si="2004"/>
        <v>87.207452446727018</v>
      </c>
      <c r="Y112" s="200">
        <f t="shared" si="2004"/>
        <v>88.463348771275435</v>
      </c>
      <c r="Z112" s="200">
        <f t="shared" si="2004"/>
        <v>89.737331572767772</v>
      </c>
      <c r="AA112" s="200">
        <f t="shared" si="2004"/>
        <v>91.029661319080091</v>
      </c>
      <c r="AB112" s="200">
        <f t="shared" si="2004"/>
        <v>92.3406022291515</v>
      </c>
      <c r="AC112" s="200">
        <f t="shared" si="2004"/>
        <v>93.670422327004076</v>
      </c>
      <c r="AD112" s="200">
        <f t="shared" si="2004"/>
        <v>95.019393496540843</v>
      </c>
      <c r="AE112" s="200">
        <f t="shared" si="2004"/>
        <v>96.387791537132898</v>
      </c>
      <c r="AF112" s="200">
        <f t="shared" si="2004"/>
        <v>97.775896220007041</v>
      </c>
      <c r="AG112" s="200">
        <f t="shared" si="2004"/>
        <v>99.183991345445421</v>
      </c>
      <c r="AH112" s="200">
        <f t="shared" si="2004"/>
        <v>0</v>
      </c>
      <c r="AI112" s="200">
        <f t="shared" si="2004"/>
        <v>0</v>
      </c>
      <c r="AJ112" s="200">
        <f t="shared" si="2004"/>
        <v>0</v>
      </c>
      <c r="AK112" s="200">
        <f t="shared" si="2004"/>
        <v>0</v>
      </c>
      <c r="AL112" s="200">
        <f t="shared" si="2004"/>
        <v>0</v>
      </c>
      <c r="AM112" s="200">
        <f t="shared" si="2004"/>
        <v>0</v>
      </c>
      <c r="AN112" s="200">
        <f t="shared" si="2004"/>
        <v>0</v>
      </c>
      <c r="AO112" s="200">
        <f t="shared" si="2004"/>
        <v>0</v>
      </c>
      <c r="AP112" s="200">
        <f t="shared" si="2004"/>
        <v>0</v>
      </c>
      <c r="AQ112" s="200">
        <f t="shared" si="2004"/>
        <v>0</v>
      </c>
      <c r="AR112" s="200">
        <f t="shared" si="2004"/>
        <v>0</v>
      </c>
      <c r="AS112" s="200">
        <f t="shared" si="2004"/>
        <v>0</v>
      </c>
      <c r="AT112" s="200">
        <f t="shared" si="2004"/>
        <v>0</v>
      </c>
      <c r="AU112" s="200">
        <f t="shared" si="2004"/>
        <v>0</v>
      </c>
      <c r="AV112" s="200">
        <f t="shared" si="2004"/>
        <v>0</v>
      </c>
      <c r="AW112" s="200">
        <f t="shared" si="2004"/>
        <v>0</v>
      </c>
      <c r="AX112" s="200">
        <f t="shared" si="2004"/>
        <v>0</v>
      </c>
      <c r="AY112" s="200">
        <f t="shared" si="2004"/>
        <v>0</v>
      </c>
      <c r="AZ112" s="200">
        <f t="shared" si="2004"/>
        <v>0</v>
      </c>
      <c r="BA112" s="200">
        <f t="shared" si="2004"/>
        <v>0</v>
      </c>
      <c r="BB112" s="200">
        <f t="shared" si="2004"/>
        <v>0</v>
      </c>
      <c r="BC112" s="200">
        <f t="shared" si="2004"/>
        <v>0</v>
      </c>
      <c r="BD112" s="200">
        <f t="shared" si="2004"/>
        <v>0</v>
      </c>
      <c r="BE112" s="200">
        <f t="shared" si="2004"/>
        <v>0</v>
      </c>
      <c r="BF112" s="200">
        <f t="shared" si="2004"/>
        <v>0</v>
      </c>
      <c r="BG112" s="200">
        <f t="shared" si="2004"/>
        <v>0</v>
      </c>
      <c r="BH112" s="200">
        <f t="shared" si="2004"/>
        <v>0</v>
      </c>
      <c r="BI112" s="200">
        <f t="shared" si="2004"/>
        <v>0</v>
      </c>
      <c r="BJ112" s="200">
        <f t="shared" si="2004"/>
        <v>0</v>
      </c>
      <c r="BK112" s="200">
        <f t="shared" si="2004"/>
        <v>0</v>
      </c>
    </row>
    <row r="113" spans="1:63" ht="7.8" x14ac:dyDescent="0.15">
      <c r="A113" s="208" t="s">
        <v>203</v>
      </c>
      <c r="B113" s="192"/>
      <c r="C113" s="192"/>
      <c r="D113" s="192"/>
      <c r="E113" s="192"/>
      <c r="F113" s="192"/>
      <c r="G113" s="192"/>
      <c r="H113" s="192"/>
      <c r="I113" s="192"/>
      <c r="J113" s="192"/>
      <c r="K113" s="192"/>
      <c r="L113" s="192"/>
      <c r="M113" s="192"/>
      <c r="N113" s="192"/>
      <c r="O113" s="224">
        <f>IF(O105-101&lt;&gt;LoanSaleHeld,0,SUM($D112:O112)*LoanSalePercent)</f>
        <v>0</v>
      </c>
      <c r="P113" s="225">
        <f>IF(P105-101&lt;&gt;LoanSaleHeld,0,SUM($D112:P112)*LoanSalePercent)</f>
        <v>0</v>
      </c>
      <c r="Q113" s="225">
        <f>IF(Q105-101&lt;&gt;LoanSaleHeld,0,SUM($D112:Q112)*LoanSalePercent)</f>
        <v>0</v>
      </c>
      <c r="R113" s="225">
        <f>IF(R105-101&lt;&gt;LoanSaleHeld,0,SUM($D112:R112)*LoanSalePercent)</f>
        <v>208.93178128440283</v>
      </c>
      <c r="S113" s="225">
        <f>IF(S105-101&lt;&gt;LoanSaleHeld,0,SUM($D112:S112)*LoanSalePercent)</f>
        <v>0</v>
      </c>
      <c r="T113" s="225">
        <f>IF(T105-101&lt;&gt;LoanSaleHeld,0,SUM($D112:T112)*LoanSalePercent)</f>
        <v>0</v>
      </c>
      <c r="U113" s="225">
        <f>IF(U105-101&lt;&gt;LoanSaleHeld,0,SUM($D112:U112)*LoanSalePercent)</f>
        <v>0</v>
      </c>
      <c r="V113" s="225">
        <f>IF(V105-101&lt;&gt;LoanSaleHeld,0,SUM($D112:V112)*LoanSalePercent)</f>
        <v>0</v>
      </c>
      <c r="W113" s="225">
        <f>IF(W105-101&lt;&gt;LoanSaleHeld,0,SUM($D112:W112)*LoanSalePercent)</f>
        <v>0</v>
      </c>
      <c r="X113" s="225">
        <f>IF(X105-101&lt;&gt;LoanSaleHeld,0,SUM($D112:X112)*LoanSalePercent)</f>
        <v>0</v>
      </c>
      <c r="Y113" s="225">
        <f>IF(Y105-101&lt;&gt;LoanSaleHeld,0,SUM($D112:Y112)*LoanSalePercent)</f>
        <v>0</v>
      </c>
      <c r="Z113" s="225">
        <f>IF(Z105-101&lt;&gt;LoanSaleHeld,0,SUM($D112:Z112)*LoanSalePercent)</f>
        <v>0</v>
      </c>
      <c r="AA113" s="225">
        <f>IF(AA105-101&lt;&gt;LoanSaleHeld,0,SUM($D112:AA112)*LoanSalePercent)</f>
        <v>0</v>
      </c>
      <c r="AB113" s="225">
        <f>IF(AB105-101&lt;&gt;LoanSaleHeld,0,SUM($D112:AB112)*LoanSalePercent)</f>
        <v>0</v>
      </c>
      <c r="AC113" s="225">
        <f>IF(AC105-101&lt;&gt;LoanSaleHeld,0,SUM($D112:AC112)*LoanSalePercent)</f>
        <v>0</v>
      </c>
      <c r="AD113" s="225">
        <f>IF(AD105-101&lt;&gt;LoanSaleHeld,0,SUM($D112:AD112)*LoanSalePercent)</f>
        <v>0</v>
      </c>
      <c r="AE113" s="225">
        <f>IF(AE105-101&lt;&gt;LoanSaleHeld,0,SUM($D112:AE112)*LoanSalePercent)</f>
        <v>0</v>
      </c>
      <c r="AF113" s="225">
        <f>IF(AF105-101&lt;&gt;LoanSaleHeld,0,SUM($D112:AF112)*LoanSalePercent)</f>
        <v>0</v>
      </c>
      <c r="AG113" s="225">
        <f>IF(AG105-101&lt;&gt;LoanSaleHeld,0,SUM($D112:AG112)*LoanSalePercent)</f>
        <v>0</v>
      </c>
      <c r="AH113" s="225">
        <f>IF(AH105-101&lt;&gt;LoanSaleHeld,0,SUM($D112:AH112)*LoanSalePercent)</f>
        <v>0</v>
      </c>
      <c r="AI113" s="225">
        <f>IF(AI105-101&lt;&gt;LoanSaleHeld,0,SUM($D112:AI112)*LoanSalePercent)</f>
        <v>0</v>
      </c>
      <c r="AJ113" s="225">
        <f>IF(AJ105-101&lt;&gt;LoanSaleHeld,0,SUM($D112:AJ112)*LoanSalePercent)</f>
        <v>0</v>
      </c>
      <c r="AK113" s="225">
        <f>IF(AK105-101&lt;&gt;LoanSaleHeld,0,SUM($D112:AK112)*LoanSalePercent)</f>
        <v>0</v>
      </c>
      <c r="AL113" s="225">
        <f>IF(AL105-101&lt;&gt;LoanSaleHeld,0,SUM($D112:AL112)*LoanSalePercent)</f>
        <v>0</v>
      </c>
      <c r="AM113" s="225">
        <f>IF(AM105-101&lt;&gt;LoanSaleHeld,0,SUM($D112:AM112)*LoanSalePercent)</f>
        <v>0</v>
      </c>
      <c r="AN113" s="225">
        <f>IF(AN105-101&lt;&gt;LoanSaleHeld,0,SUM($D112:AN112)*LoanSalePercent)</f>
        <v>0</v>
      </c>
      <c r="AO113" s="225">
        <f>IF(AO105-101&lt;&gt;LoanSaleHeld,0,SUM($D112:AO112)*LoanSalePercent)</f>
        <v>0</v>
      </c>
      <c r="AP113" s="225">
        <f>IF(AP105-101&lt;&gt;LoanSaleHeld,0,SUM($D112:AP112)*LoanSalePercent)</f>
        <v>0</v>
      </c>
      <c r="AQ113" s="225">
        <f>IF(AQ105-101&lt;&gt;LoanSaleHeld,0,SUM($D112:AQ112)*LoanSalePercent)</f>
        <v>0</v>
      </c>
      <c r="AR113" s="225">
        <f>IF(AR105-101&lt;&gt;LoanSaleHeld,0,SUM($D112:AR112)*LoanSalePercent)</f>
        <v>0</v>
      </c>
      <c r="AS113" s="225">
        <f>IF(AS105-101&lt;&gt;LoanSaleHeld,0,SUM($D112:AS112)*LoanSalePercent)</f>
        <v>0</v>
      </c>
      <c r="AT113" s="225">
        <f>IF(AT105-101&lt;&gt;LoanSaleHeld,0,SUM($D112:AT112)*LoanSalePercent)</f>
        <v>0</v>
      </c>
      <c r="AU113" s="225">
        <f>IF(AU105-101&lt;&gt;LoanSaleHeld,0,SUM($D112:AU112)*LoanSalePercent)</f>
        <v>0</v>
      </c>
      <c r="AV113" s="225">
        <f>IF(AV105-101&lt;&gt;LoanSaleHeld,0,SUM($D112:AV112)*LoanSalePercent)</f>
        <v>0</v>
      </c>
      <c r="AW113" s="225">
        <f>IF(AW105-101&lt;&gt;LoanSaleHeld,0,SUM($D112:AW112)*LoanSalePercent)</f>
        <v>0</v>
      </c>
      <c r="AX113" s="225">
        <f>IF(AX105-101&lt;&gt;LoanSaleHeld,0,SUM($D112:AX112)*LoanSalePercent)</f>
        <v>0</v>
      </c>
      <c r="AY113" s="225">
        <f>IF(AY105-101&lt;&gt;LoanSaleHeld,0,SUM($D112:AY112)*LoanSalePercent)</f>
        <v>0</v>
      </c>
      <c r="AZ113" s="225">
        <f>IF(AZ105-101&lt;&gt;LoanSaleHeld,0,SUM($D112:AZ112)*LoanSalePercent)</f>
        <v>0</v>
      </c>
      <c r="BA113" s="225">
        <f>IF(BA105-101&lt;&gt;LoanSaleHeld,0,SUM($D112:BA112)*LoanSalePercent)</f>
        <v>0</v>
      </c>
      <c r="BB113" s="225">
        <f>IF(BB105-101&lt;&gt;LoanSaleHeld,0,SUM($D112:BB112)*LoanSalePercent)</f>
        <v>0</v>
      </c>
      <c r="BC113" s="225">
        <f>IF(BC105-101&lt;&gt;LoanSaleHeld,0,SUM($D112:BC112)*LoanSalePercent)</f>
        <v>0</v>
      </c>
      <c r="BD113" s="225">
        <f>IF(BD105-101&lt;&gt;LoanSaleHeld,0,SUM($D112:BD112)*LoanSalePercent)</f>
        <v>0</v>
      </c>
      <c r="BE113" s="225">
        <f>IF(BE105-101&lt;&gt;LoanSaleHeld,0,SUM($D112:BE112)*LoanSalePercent)</f>
        <v>0</v>
      </c>
      <c r="BF113" s="225">
        <f>IF(BF105-101&lt;&gt;LoanSaleHeld,0,SUM($D112:BF112)*LoanSalePercent)</f>
        <v>0</v>
      </c>
      <c r="BG113" s="225">
        <f>IF(BG105-101&lt;&gt;LoanSaleHeld,0,SUM($D112:BG112)*LoanSalePercent)</f>
        <v>0</v>
      </c>
      <c r="BH113" s="225">
        <f>IF(BH105-101&lt;&gt;LoanSaleHeld,0,SUM($D112:BH112)*LoanSalePercent)</f>
        <v>0</v>
      </c>
      <c r="BI113" s="225">
        <f>IF(BI105-101&lt;&gt;LoanSaleHeld,0,SUM($D112:BI112)*LoanSalePercent)</f>
        <v>0</v>
      </c>
      <c r="BJ113" s="225">
        <f>IF(BJ105-101&lt;&gt;LoanSaleHeld,0,SUM($D112:BJ112)*LoanSalePercent)</f>
        <v>0</v>
      </c>
      <c r="BK113" s="225">
        <f>IF(BK105-101&lt;&gt;LoanSaleHeld,0,SUM($D112:BK112)*LoanSalePercent)</f>
        <v>0</v>
      </c>
    </row>
    <row r="114" spans="1:63" ht="7.8" x14ac:dyDescent="0.15">
      <c r="A114" s="204">
        <f t="shared" ref="A114" si="2005">A105+1</f>
        <v>13</v>
      </c>
      <c r="B114" s="192"/>
      <c r="C114" s="192"/>
      <c r="D114" s="192"/>
      <c r="E114" s="192"/>
      <c r="F114" s="192"/>
      <c r="G114" s="192"/>
      <c r="H114" s="192"/>
      <c r="I114" s="192"/>
      <c r="J114" s="192"/>
      <c r="K114" s="192"/>
      <c r="L114" s="192"/>
      <c r="M114" s="192"/>
      <c r="N114" s="192"/>
      <c r="O114" s="192"/>
      <c r="P114" s="195">
        <v>101</v>
      </c>
      <c r="Q114" s="196">
        <f t="shared" ref="Q114" si="2006">IF(Q115=0,0,P114+1)</f>
        <v>102</v>
      </c>
      <c r="R114" s="196">
        <f t="shared" ref="R114" si="2007">IF(R115=0,0,Q114+1)</f>
        <v>103</v>
      </c>
      <c r="S114" s="196">
        <f t="shared" ref="S114" si="2008">IF(S115=0,0,R114+1)</f>
        <v>104</v>
      </c>
      <c r="T114" s="196">
        <f t="shared" ref="T114" si="2009">IF(T115=0,0,S114+1)</f>
        <v>105</v>
      </c>
      <c r="U114" s="196">
        <f t="shared" ref="U114" si="2010">IF(U115=0,0,T114+1)</f>
        <v>106</v>
      </c>
      <c r="V114" s="196">
        <f t="shared" ref="V114" si="2011">IF(V115=0,0,U114+1)</f>
        <v>107</v>
      </c>
      <c r="W114" s="196">
        <f t="shared" ref="W114" si="2012">IF(W115=0,0,V114+1)</f>
        <v>108</v>
      </c>
      <c r="X114" s="196">
        <f t="shared" ref="X114" si="2013">IF(X115=0,0,W114+1)</f>
        <v>109</v>
      </c>
      <c r="Y114" s="196">
        <f t="shared" ref="Y114" si="2014">IF(Y115=0,0,X114+1)</f>
        <v>110</v>
      </c>
      <c r="Z114" s="196">
        <f t="shared" ref="Z114" si="2015">IF(Z115=0,0,Y114+1)</f>
        <v>111</v>
      </c>
      <c r="AA114" s="196">
        <f t="shared" ref="AA114" si="2016">IF(AA115=0,0,Z114+1)</f>
        <v>112</v>
      </c>
      <c r="AB114" s="196">
        <f t="shared" ref="AB114" si="2017">IF(AB115=0,0,AA114+1)</f>
        <v>113</v>
      </c>
      <c r="AC114" s="196">
        <f t="shared" ref="AC114" si="2018">IF(AC115=0,0,AB114+1)</f>
        <v>114</v>
      </c>
      <c r="AD114" s="196">
        <f t="shared" ref="AD114" si="2019">IF(AD115=0,0,AC114+1)</f>
        <v>115</v>
      </c>
      <c r="AE114" s="196">
        <f t="shared" ref="AE114" si="2020">IF(AE115=0,0,AD114+1)</f>
        <v>116</v>
      </c>
      <c r="AF114" s="196">
        <f t="shared" ref="AF114" si="2021">IF(AF115=0,0,AE114+1)</f>
        <v>117</v>
      </c>
      <c r="AG114" s="196">
        <f t="shared" ref="AG114" si="2022">IF(AG115=0,0,AF114+1)</f>
        <v>118</v>
      </c>
      <c r="AH114" s="196">
        <f t="shared" ref="AH114" si="2023">IF(AH115=0,0,AG114+1)</f>
        <v>119</v>
      </c>
      <c r="AI114" s="196">
        <f t="shared" ref="AI114" si="2024">IF(AI115=0,0,AH114+1)</f>
        <v>0</v>
      </c>
      <c r="AJ114" s="196">
        <f t="shared" ref="AJ114" si="2025">IF(AJ115=0,0,AI114+1)</f>
        <v>0</v>
      </c>
      <c r="AK114" s="196">
        <f t="shared" ref="AK114" si="2026">IF(AK115=0,0,AJ114+1)</f>
        <v>0</v>
      </c>
      <c r="AL114" s="196">
        <f t="shared" ref="AL114" si="2027">IF(AL115=0,0,AK114+1)</f>
        <v>0</v>
      </c>
      <c r="AM114" s="196">
        <f t="shared" ref="AM114" si="2028">IF(AM115=0,0,AL114+1)</f>
        <v>0</v>
      </c>
      <c r="AN114" s="196">
        <f t="shared" ref="AN114" si="2029">IF(AN115=0,0,AM114+1)</f>
        <v>0</v>
      </c>
      <c r="AO114" s="196">
        <f t="shared" ref="AO114" si="2030">IF(AO115=0,0,AN114+1)</f>
        <v>0</v>
      </c>
      <c r="AP114" s="196">
        <f t="shared" ref="AP114" si="2031">IF(AP115=0,0,AO114+1)</f>
        <v>0</v>
      </c>
      <c r="AQ114" s="196">
        <f t="shared" ref="AQ114" si="2032">IF(AQ115=0,0,AP114+1)</f>
        <v>0</v>
      </c>
      <c r="AR114" s="196">
        <f t="shared" ref="AR114" si="2033">IF(AR115=0,0,AQ114+1)</f>
        <v>0</v>
      </c>
      <c r="AS114" s="196">
        <f t="shared" ref="AS114" si="2034">IF(AS115=0,0,AR114+1)</f>
        <v>0</v>
      </c>
      <c r="AT114" s="196">
        <f t="shared" ref="AT114" si="2035">IF(AT115=0,0,AS114+1)</f>
        <v>0</v>
      </c>
      <c r="AU114" s="196">
        <f t="shared" ref="AU114" si="2036">IF(AU115=0,0,AT114+1)</f>
        <v>0</v>
      </c>
      <c r="AV114" s="196">
        <f t="shared" ref="AV114" si="2037">IF(AV115=0,0,AU114+1)</f>
        <v>0</v>
      </c>
      <c r="AW114" s="196">
        <f t="shared" ref="AW114" si="2038">IF(AW115=0,0,AV114+1)</f>
        <v>0</v>
      </c>
      <c r="AX114" s="196">
        <f t="shared" ref="AX114" si="2039">IF(AX115=0,0,AW114+1)</f>
        <v>0</v>
      </c>
      <c r="AY114" s="196">
        <f t="shared" ref="AY114" si="2040">IF(AY115=0,0,AX114+1)</f>
        <v>0</v>
      </c>
      <c r="AZ114" s="196">
        <f t="shared" ref="AZ114" si="2041">IF(AZ115=0,0,AY114+1)</f>
        <v>0</v>
      </c>
      <c r="BA114" s="196">
        <f t="shared" ref="BA114" si="2042">IF(BA115=0,0,AZ114+1)</f>
        <v>0</v>
      </c>
      <c r="BB114" s="196">
        <f t="shared" ref="BB114" si="2043">IF(BB115=0,0,BA114+1)</f>
        <v>0</v>
      </c>
      <c r="BC114" s="196">
        <f t="shared" ref="BC114" si="2044">IF(BC115=0,0,BB114+1)</f>
        <v>0</v>
      </c>
      <c r="BD114" s="196">
        <f t="shared" ref="BD114" si="2045">IF(BD115=0,0,BC114+1)</f>
        <v>0</v>
      </c>
      <c r="BE114" s="196">
        <f t="shared" ref="BE114" si="2046">IF(BE115=0,0,BD114+1)</f>
        <v>0</v>
      </c>
      <c r="BF114" s="196">
        <f t="shared" ref="BF114" si="2047">IF(BF115=0,0,BE114+1)</f>
        <v>0</v>
      </c>
      <c r="BG114" s="196">
        <f t="shared" ref="BG114" si="2048">IF(BG115=0,0,BF114+1)</f>
        <v>0</v>
      </c>
      <c r="BH114" s="196">
        <f t="shared" ref="BH114" si="2049">IF(BH115=0,0,BG114+1)</f>
        <v>0</v>
      </c>
      <c r="BI114" s="196">
        <f t="shared" ref="BI114" si="2050">IF(BI115=0,0,BH114+1)</f>
        <v>0</v>
      </c>
      <c r="BJ114" s="196">
        <f t="shared" ref="BJ114" si="2051">IF(BJ115=0,0,BI114+1)</f>
        <v>0</v>
      </c>
      <c r="BK114" s="196">
        <f t="shared" ref="BK114" si="2052">IF(BK115=0,0,BJ114+1)</f>
        <v>0</v>
      </c>
    </row>
    <row r="115" spans="1:63" ht="7.8" x14ac:dyDescent="0.15">
      <c r="A115" s="216" t="s">
        <v>178</v>
      </c>
      <c r="B115" s="192"/>
      <c r="C115" s="192"/>
      <c r="D115" s="192"/>
      <c r="E115" s="192"/>
      <c r="F115" s="192"/>
      <c r="G115" s="192"/>
      <c r="H115" s="192"/>
      <c r="I115" s="192"/>
      <c r="J115" s="192"/>
      <c r="K115" s="192"/>
      <c r="L115" s="192"/>
      <c r="M115" s="192"/>
      <c r="N115" s="192"/>
      <c r="O115" s="192"/>
      <c r="P115" s="217">
        <f>LoanSize</f>
        <v>25</v>
      </c>
      <c r="Q115" s="215">
        <f>IF(P115-P118&lt;=0.1,0,P115-P118)</f>
        <v>23.79027212253634</v>
      </c>
      <c r="R115" s="215">
        <f t="shared" ref="R115:BK115" si="2053">IF(Q115-Q118&lt;=0.1,0,Q115-Q118)</f>
        <v>22.56189427362845</v>
      </c>
      <c r="S115" s="215">
        <f t="shared" si="2053"/>
        <v>21.314578932883229</v>
      </c>
      <c r="T115" s="215">
        <f t="shared" si="2053"/>
        <v>20.048034147301522</v>
      </c>
      <c r="U115" s="215">
        <f t="shared" si="2053"/>
        <v>18.761963462942095</v>
      </c>
      <c r="V115" s="215">
        <f t="shared" si="2053"/>
        <v>17.456065855532128</v>
      </c>
      <c r="W115" s="215">
        <f t="shared" si="2053"/>
        <v>16.130035660007923</v>
      </c>
      <c r="X115" s="215">
        <f t="shared" si="2053"/>
        <v>14.783562498969387</v>
      </c>
      <c r="Y115" s="215">
        <f t="shared" si="2053"/>
        <v>13.416331210031506</v>
      </c>
      <c r="Z115" s="215">
        <f t="shared" si="2053"/>
        <v>12.028021772055833</v>
      </c>
      <c r="AA115" s="215">
        <f t="shared" si="2053"/>
        <v>10.618309230244702</v>
      </c>
      <c r="AB115" s="215">
        <f t="shared" si="2053"/>
        <v>9.1868636200806488</v>
      </c>
      <c r="AC115" s="215">
        <f t="shared" si="2053"/>
        <v>7.7333498900932334</v>
      </c>
      <c r="AD115" s="215">
        <f t="shared" si="2053"/>
        <v>6.2574278234351794</v>
      </c>
      <c r="AE115" s="215">
        <f t="shared" si="2053"/>
        <v>4.7587519582494799</v>
      </c>
      <c r="AF115" s="215">
        <f t="shared" si="2053"/>
        <v>3.2369715068088345</v>
      </c>
      <c r="AG115" s="215">
        <f t="shared" si="2053"/>
        <v>1.6917302734084789</v>
      </c>
      <c r="AH115" s="215">
        <f t="shared" si="2053"/>
        <v>0.12266657099320111</v>
      </c>
      <c r="AI115" s="215">
        <f t="shared" si="2053"/>
        <v>0</v>
      </c>
      <c r="AJ115" s="215">
        <f t="shared" si="2053"/>
        <v>0</v>
      </c>
      <c r="AK115" s="215">
        <f t="shared" si="2053"/>
        <v>0</v>
      </c>
      <c r="AL115" s="215">
        <f t="shared" si="2053"/>
        <v>0</v>
      </c>
      <c r="AM115" s="215">
        <f t="shared" si="2053"/>
        <v>0</v>
      </c>
      <c r="AN115" s="215">
        <f t="shared" si="2053"/>
        <v>0</v>
      </c>
      <c r="AO115" s="215">
        <f t="shared" si="2053"/>
        <v>0</v>
      </c>
      <c r="AP115" s="215">
        <f t="shared" si="2053"/>
        <v>0</v>
      </c>
      <c r="AQ115" s="215">
        <f t="shared" si="2053"/>
        <v>0</v>
      </c>
      <c r="AR115" s="215">
        <f t="shared" si="2053"/>
        <v>0</v>
      </c>
      <c r="AS115" s="215">
        <f t="shared" si="2053"/>
        <v>0</v>
      </c>
      <c r="AT115" s="215">
        <f t="shared" si="2053"/>
        <v>0</v>
      </c>
      <c r="AU115" s="215">
        <f t="shared" si="2053"/>
        <v>0</v>
      </c>
      <c r="AV115" s="215">
        <f t="shared" si="2053"/>
        <v>0</v>
      </c>
      <c r="AW115" s="215">
        <f t="shared" si="2053"/>
        <v>0</v>
      </c>
      <c r="AX115" s="215">
        <f t="shared" si="2053"/>
        <v>0</v>
      </c>
      <c r="AY115" s="215">
        <f t="shared" si="2053"/>
        <v>0</v>
      </c>
      <c r="AZ115" s="215">
        <f t="shared" si="2053"/>
        <v>0</v>
      </c>
      <c r="BA115" s="215">
        <f t="shared" si="2053"/>
        <v>0</v>
      </c>
      <c r="BB115" s="215">
        <f t="shared" si="2053"/>
        <v>0</v>
      </c>
      <c r="BC115" s="215">
        <f t="shared" si="2053"/>
        <v>0</v>
      </c>
      <c r="BD115" s="215">
        <f t="shared" si="2053"/>
        <v>0</v>
      </c>
      <c r="BE115" s="215">
        <f t="shared" si="2053"/>
        <v>0</v>
      </c>
      <c r="BF115" s="215">
        <f t="shared" si="2053"/>
        <v>0</v>
      </c>
      <c r="BG115" s="215">
        <f t="shared" si="2053"/>
        <v>0</v>
      </c>
      <c r="BH115" s="215">
        <f t="shared" si="2053"/>
        <v>0</v>
      </c>
      <c r="BI115" s="215">
        <f t="shared" si="2053"/>
        <v>0</v>
      </c>
      <c r="BJ115" s="215">
        <f t="shared" si="2053"/>
        <v>0</v>
      </c>
      <c r="BK115" s="215">
        <f t="shared" si="2053"/>
        <v>0</v>
      </c>
    </row>
    <row r="116" spans="1:63" ht="7.8" x14ac:dyDescent="0.15">
      <c r="A116" s="218" t="s">
        <v>179</v>
      </c>
      <c r="B116" s="192"/>
      <c r="C116" s="192"/>
      <c r="D116" s="192"/>
      <c r="E116" s="192"/>
      <c r="F116" s="192"/>
      <c r="G116" s="192"/>
      <c r="H116" s="192"/>
      <c r="I116" s="192"/>
      <c r="J116" s="192"/>
      <c r="K116" s="192"/>
      <c r="L116" s="192"/>
      <c r="M116" s="192"/>
      <c r="N116" s="192"/>
      <c r="O116" s="192"/>
      <c r="P116" s="219">
        <f>IF(P115=0,0,PMT(INDEX(LoanCohortRate,1),LoanTerm, -LoanSize))</f>
        <v>1.5951445441303251</v>
      </c>
      <c r="Q116" s="222">
        <f t="shared" ref="Q116" si="2054">IF(Q115=0,0, P116)</f>
        <v>1.5951445441303251</v>
      </c>
      <c r="R116" s="222">
        <f t="shared" ref="R116" si="2055">IF(R115=0,0, Q116)</f>
        <v>1.5951445441303251</v>
      </c>
      <c r="S116" s="222">
        <f t="shared" ref="S116" si="2056">IF(S115=0,0, R116)</f>
        <v>1.5951445441303251</v>
      </c>
      <c r="T116" s="222">
        <f t="shared" ref="T116" si="2057">IF(T115=0,0, S116)</f>
        <v>1.5951445441303251</v>
      </c>
      <c r="U116" s="222">
        <f t="shared" ref="U116" si="2058">IF(U115=0,0, T116)</f>
        <v>1.5951445441303251</v>
      </c>
      <c r="V116" s="222">
        <f t="shared" ref="V116" si="2059">IF(V115=0,0, U116)</f>
        <v>1.5951445441303251</v>
      </c>
      <c r="W116" s="222">
        <f t="shared" ref="W116" si="2060">IF(W115=0,0, V116)</f>
        <v>1.5951445441303251</v>
      </c>
      <c r="X116" s="222">
        <f t="shared" ref="X116" si="2061">IF(X115=0,0, W116)</f>
        <v>1.5951445441303251</v>
      </c>
      <c r="Y116" s="222">
        <f t="shared" ref="Y116" si="2062">IF(Y115=0,0, X116)</f>
        <v>1.5951445441303251</v>
      </c>
      <c r="Z116" s="222">
        <f t="shared" ref="Z116" si="2063">IF(Z115=0,0, Y116)</f>
        <v>1.5951445441303251</v>
      </c>
      <c r="AA116" s="222">
        <f t="shared" ref="AA116" si="2064">IF(AA115=0,0, Z116)</f>
        <v>1.5951445441303251</v>
      </c>
      <c r="AB116" s="222">
        <f t="shared" ref="AB116" si="2065">IF(AB115=0,0, AA116)</f>
        <v>1.5951445441303251</v>
      </c>
      <c r="AC116" s="222">
        <f t="shared" ref="AC116" si="2066">IF(AC115=0,0, AB116)</f>
        <v>1.5951445441303251</v>
      </c>
      <c r="AD116" s="222">
        <f t="shared" ref="AD116" si="2067">IF(AD115=0,0, AC116)</f>
        <v>1.5951445441303251</v>
      </c>
      <c r="AE116" s="222">
        <f t="shared" ref="AE116" si="2068">IF(AE115=0,0, AD116)</f>
        <v>1.5951445441303251</v>
      </c>
      <c r="AF116" s="222">
        <f t="shared" ref="AF116" si="2069">IF(AF115=0,0, AE116)</f>
        <v>1.5951445441303251</v>
      </c>
      <c r="AG116" s="222">
        <f t="shared" ref="AG116" si="2070">IF(AG115=0,0, AF116)</f>
        <v>1.5951445441303251</v>
      </c>
      <c r="AH116" s="222">
        <f t="shared" ref="AH116" si="2071">IF(AH115=0,0, AG116)</f>
        <v>1.5951445441303251</v>
      </c>
      <c r="AI116" s="222">
        <f t="shared" ref="AI116" si="2072">IF(AI115=0,0, AH116)</f>
        <v>0</v>
      </c>
      <c r="AJ116" s="222">
        <f t="shared" ref="AJ116" si="2073">IF(AJ115=0,0, AI116)</f>
        <v>0</v>
      </c>
      <c r="AK116" s="222">
        <f t="shared" ref="AK116" si="2074">IF(AK115=0,0, AJ116)</f>
        <v>0</v>
      </c>
      <c r="AL116" s="222">
        <f t="shared" ref="AL116" si="2075">IF(AL115=0,0, AK116)</f>
        <v>0</v>
      </c>
      <c r="AM116" s="222">
        <f t="shared" ref="AM116" si="2076">IF(AM115=0,0, AL116)</f>
        <v>0</v>
      </c>
      <c r="AN116" s="222">
        <f t="shared" ref="AN116" si="2077">IF(AN115=0,0, AM116)</f>
        <v>0</v>
      </c>
      <c r="AO116" s="222">
        <f t="shared" ref="AO116" si="2078">IF(AO115=0,0, AN116)</f>
        <v>0</v>
      </c>
      <c r="AP116" s="222">
        <f t="shared" ref="AP116" si="2079">IF(AP115=0,0, AO116)</f>
        <v>0</v>
      </c>
      <c r="AQ116" s="222">
        <f t="shared" ref="AQ116" si="2080">IF(AQ115=0,0, AP116)</f>
        <v>0</v>
      </c>
      <c r="AR116" s="222">
        <f t="shared" ref="AR116" si="2081">IF(AR115=0,0, AQ116)</f>
        <v>0</v>
      </c>
      <c r="AS116" s="222">
        <f t="shared" ref="AS116" si="2082">IF(AS115=0,0, AR116)</f>
        <v>0</v>
      </c>
      <c r="AT116" s="222">
        <f t="shared" ref="AT116" si="2083">IF(AT115=0,0, AS116)</f>
        <v>0</v>
      </c>
      <c r="AU116" s="222">
        <f t="shared" ref="AU116" si="2084">IF(AU115=0,0, AT116)</f>
        <v>0</v>
      </c>
      <c r="AV116" s="222">
        <f t="shared" ref="AV116" si="2085">IF(AV115=0,0, AU116)</f>
        <v>0</v>
      </c>
      <c r="AW116" s="222">
        <f t="shared" ref="AW116" si="2086">IF(AW115=0,0, AV116)</f>
        <v>0</v>
      </c>
      <c r="AX116" s="222">
        <f t="shared" ref="AX116" si="2087">IF(AX115=0,0, AW116)</f>
        <v>0</v>
      </c>
      <c r="AY116" s="222">
        <f t="shared" ref="AY116" si="2088">IF(AY115=0,0, AX116)</f>
        <v>0</v>
      </c>
      <c r="AZ116" s="222">
        <f t="shared" ref="AZ116" si="2089">IF(AZ115=0,0, AY116)</f>
        <v>0</v>
      </c>
      <c r="BA116" s="222">
        <f t="shared" ref="BA116" si="2090">IF(BA115=0,0, AZ116)</f>
        <v>0</v>
      </c>
      <c r="BB116" s="222">
        <f t="shared" ref="BB116" si="2091">IF(BB115=0,0, BA116)</f>
        <v>0</v>
      </c>
      <c r="BC116" s="222">
        <f t="shared" ref="BC116" si="2092">IF(BC115=0,0, BB116)</f>
        <v>0</v>
      </c>
      <c r="BD116" s="222">
        <f t="shared" ref="BD116" si="2093">IF(BD115=0,0, BC116)</f>
        <v>0</v>
      </c>
      <c r="BE116" s="222">
        <f t="shared" ref="BE116" si="2094">IF(BE115=0,0, BD116)</f>
        <v>0</v>
      </c>
      <c r="BF116" s="222">
        <f t="shared" ref="BF116" si="2095">IF(BF115=0,0, BE116)</f>
        <v>0</v>
      </c>
      <c r="BG116" s="222">
        <f t="shared" ref="BG116" si="2096">IF(BG115=0,0, BF116)</f>
        <v>0</v>
      </c>
      <c r="BH116" s="222">
        <f t="shared" ref="BH116" si="2097">IF(BH115=0,0, BG116)</f>
        <v>0</v>
      </c>
      <c r="BI116" s="222">
        <f t="shared" ref="BI116" si="2098">IF(BI115=0,0, BH116)</f>
        <v>0</v>
      </c>
      <c r="BJ116" s="222">
        <f t="shared" ref="BJ116" si="2099">IF(BJ115=0,0, BI116)</f>
        <v>0</v>
      </c>
      <c r="BK116" s="222">
        <f t="shared" ref="BK116" si="2100">IF(BK115=0,0, BJ116)</f>
        <v>0</v>
      </c>
    </row>
    <row r="117" spans="1:63" ht="7.8" x14ac:dyDescent="0.15">
      <c r="A117" s="218" t="s">
        <v>180</v>
      </c>
      <c r="B117" s="192"/>
      <c r="C117" s="192"/>
      <c r="D117" s="192"/>
      <c r="E117" s="192"/>
      <c r="F117" s="192"/>
      <c r="G117" s="192"/>
      <c r="H117" s="192"/>
      <c r="I117" s="192"/>
      <c r="J117" s="192"/>
      <c r="K117" s="192"/>
      <c r="L117" s="192"/>
      <c r="M117" s="192"/>
      <c r="N117" s="192"/>
      <c r="O117" s="192"/>
      <c r="P117" s="220" cm="1">
        <f t="array" ref="P117">P115*INDEX(LoanCohortRate,$A114)</f>
        <v>0.38541666666666669</v>
      </c>
      <c r="Q117" s="221" cm="1">
        <f t="array" ref="Q117">Q115*INDEX(LoanCohortRate,$A114)</f>
        <v>0.36676669522243527</v>
      </c>
      <c r="R117" s="221" cm="1">
        <f t="array" ref="R117">R115*INDEX(LoanCohortRate,$A114)</f>
        <v>0.34782920338510526</v>
      </c>
      <c r="S117" s="221" cm="1">
        <f t="array" ref="S117">S115*INDEX(LoanCohortRate,$A114)</f>
        <v>0.32859975854861645</v>
      </c>
      <c r="T117" s="221" cm="1">
        <f t="array" ref="T117">T115*INDEX(LoanCohortRate,$A114)</f>
        <v>0.30907385977089846</v>
      </c>
      <c r="U117" s="221" cm="1">
        <f t="array" ref="U117">U115*INDEX(LoanCohortRate,$A114)</f>
        <v>0.28924693672035728</v>
      </c>
      <c r="V117" s="221" cm="1">
        <f t="array" ref="V117">V115*INDEX(LoanCohortRate,$A114)</f>
        <v>0.26911434860612032</v>
      </c>
      <c r="W117" s="221" cm="1">
        <f t="array" ref="W117">W115*INDEX(LoanCohortRate,$A114)</f>
        <v>0.24867138309178882</v>
      </c>
      <c r="X117" s="221" cm="1">
        <f t="array" ref="X117">X115*INDEX(LoanCohortRate,$A114)</f>
        <v>0.22791325519244471</v>
      </c>
      <c r="Y117" s="221" cm="1">
        <f t="array" ref="Y117">Y115*INDEX(LoanCohortRate,$A114)</f>
        <v>0.20683510615465239</v>
      </c>
      <c r="Z117" s="221" cm="1">
        <f t="array" ref="Z117">Z115*INDEX(LoanCohortRate,$A114)</f>
        <v>0.1854320023191941</v>
      </c>
      <c r="AA117" s="221" cm="1">
        <f t="array" ref="AA117">AA115*INDEX(LoanCohortRate,$A114)</f>
        <v>0.1636989339662725</v>
      </c>
      <c r="AB117" s="221" cm="1">
        <f t="array" ref="AB117">AB115*INDEX(LoanCohortRate,$A114)</f>
        <v>0.14163081414291001</v>
      </c>
      <c r="AC117" s="221" cm="1">
        <f t="array" ref="AC117">AC115*INDEX(LoanCohortRate,$A114)</f>
        <v>0.11922247747227069</v>
      </c>
      <c r="AD117" s="221" cm="1">
        <f t="array" ref="AD117">AD115*INDEX(LoanCohortRate,$A114)</f>
        <v>9.6468678944625685E-2</v>
      </c>
      <c r="AE117" s="221" cm="1">
        <f t="array" ref="AE117">AE115*INDEX(LoanCohortRate,$A114)</f>
        <v>7.3364092689679486E-2</v>
      </c>
      <c r="AF117" s="221" cm="1">
        <f t="array" ref="AF117">AF115*INDEX(LoanCohortRate,$A114)</f>
        <v>4.9903310729969536E-2</v>
      </c>
      <c r="AG117" s="221" cm="1">
        <f t="array" ref="AG117">AG115*INDEX(LoanCohortRate,$A114)</f>
        <v>2.6080841715047383E-2</v>
      </c>
      <c r="AH117" s="221" cm="1">
        <f t="array" ref="AH117">AH115*INDEX(LoanCohortRate,$A114)</f>
        <v>1.8911096361451838E-3</v>
      </c>
      <c r="AI117" s="221" cm="1">
        <f t="array" ref="AI117">AI115*INDEX(LoanCohortRate,$A114)</f>
        <v>0</v>
      </c>
      <c r="AJ117" s="221" cm="1">
        <f t="array" ref="AJ117">AJ115*INDEX(LoanCohortRate,$A114)</f>
        <v>0</v>
      </c>
      <c r="AK117" s="221" cm="1">
        <f t="array" ref="AK117">AK115*INDEX(LoanCohortRate,$A114)</f>
        <v>0</v>
      </c>
      <c r="AL117" s="221" cm="1">
        <f t="array" ref="AL117">AL115*INDEX(LoanCohortRate,$A114)</f>
        <v>0</v>
      </c>
      <c r="AM117" s="221" cm="1">
        <f t="array" ref="AM117">AM115*INDEX(LoanCohortRate,$A114)</f>
        <v>0</v>
      </c>
      <c r="AN117" s="221" cm="1">
        <f t="array" ref="AN117">AN115*INDEX(LoanCohortRate,$A114)</f>
        <v>0</v>
      </c>
      <c r="AO117" s="221" cm="1">
        <f t="array" ref="AO117">AO115*INDEX(LoanCohortRate,$A114)</f>
        <v>0</v>
      </c>
      <c r="AP117" s="221" cm="1">
        <f t="array" ref="AP117">AP115*INDEX(LoanCohortRate,$A114)</f>
        <v>0</v>
      </c>
      <c r="AQ117" s="221" cm="1">
        <f t="array" ref="AQ117">AQ115*INDEX(LoanCohortRate,$A114)</f>
        <v>0</v>
      </c>
      <c r="AR117" s="221" cm="1">
        <f t="array" ref="AR117">AR115*INDEX(LoanCohortRate,$A114)</f>
        <v>0</v>
      </c>
      <c r="AS117" s="221" cm="1">
        <f t="array" ref="AS117">AS115*INDEX(LoanCohortRate,$A114)</f>
        <v>0</v>
      </c>
      <c r="AT117" s="221" cm="1">
        <f t="array" ref="AT117">AT115*INDEX(LoanCohortRate,$A114)</f>
        <v>0</v>
      </c>
      <c r="AU117" s="221" cm="1">
        <f t="array" ref="AU117">AU115*INDEX(LoanCohortRate,$A114)</f>
        <v>0</v>
      </c>
      <c r="AV117" s="221" cm="1">
        <f t="array" ref="AV117">AV115*INDEX(LoanCohortRate,$A114)</f>
        <v>0</v>
      </c>
      <c r="AW117" s="221" cm="1">
        <f t="array" ref="AW117">AW115*INDEX(LoanCohortRate,$A114)</f>
        <v>0</v>
      </c>
      <c r="AX117" s="221" cm="1">
        <f t="array" ref="AX117">AX115*INDEX(LoanCohortRate,$A114)</f>
        <v>0</v>
      </c>
      <c r="AY117" s="221" cm="1">
        <f t="array" ref="AY117">AY115*INDEX(LoanCohortRate,$A114)</f>
        <v>0</v>
      </c>
      <c r="AZ117" s="221" cm="1">
        <f t="array" ref="AZ117">AZ115*INDEX(LoanCohortRate,$A114)</f>
        <v>0</v>
      </c>
      <c r="BA117" s="221" cm="1">
        <f t="array" ref="BA117">BA115*INDEX(LoanCohortRate,$A114)</f>
        <v>0</v>
      </c>
      <c r="BB117" s="221" cm="1">
        <f t="array" ref="BB117">BB115*INDEX(LoanCohortRate,$A114)</f>
        <v>0</v>
      </c>
      <c r="BC117" s="221" cm="1">
        <f t="array" ref="BC117">BC115*INDEX(LoanCohortRate,$A114)</f>
        <v>0</v>
      </c>
      <c r="BD117" s="221" cm="1">
        <f t="array" ref="BD117">BD115*INDEX(LoanCohortRate,$A114)</f>
        <v>0</v>
      </c>
      <c r="BE117" s="221" cm="1">
        <f t="array" ref="BE117">BE115*INDEX(LoanCohortRate,$A114)</f>
        <v>0</v>
      </c>
      <c r="BF117" s="221" cm="1">
        <f t="array" ref="BF117">BF115*INDEX(LoanCohortRate,$A114)</f>
        <v>0</v>
      </c>
      <c r="BG117" s="221" cm="1">
        <f t="array" ref="BG117">BG115*INDEX(LoanCohortRate,$A114)</f>
        <v>0</v>
      </c>
      <c r="BH117" s="221" cm="1">
        <f t="array" ref="BH117">BH115*INDEX(LoanCohortRate,$A114)</f>
        <v>0</v>
      </c>
      <c r="BI117" s="221" cm="1">
        <f t="array" ref="BI117">BI115*INDEX(LoanCohortRate,$A114)</f>
        <v>0</v>
      </c>
      <c r="BJ117" s="221" cm="1">
        <f t="array" ref="BJ117">BJ115*INDEX(LoanCohortRate,$A114)</f>
        <v>0</v>
      </c>
      <c r="BK117" s="221" cm="1">
        <f t="array" ref="BK117">BK115*INDEX(LoanCohortRate,$A114)</f>
        <v>0</v>
      </c>
    </row>
    <row r="118" spans="1:63" ht="7.8" x14ac:dyDescent="0.15">
      <c r="A118" s="218" t="s">
        <v>177</v>
      </c>
      <c r="B118" s="192"/>
      <c r="C118" s="192"/>
      <c r="D118" s="192"/>
      <c r="E118" s="192"/>
      <c r="F118" s="192"/>
      <c r="G118" s="192"/>
      <c r="H118" s="192"/>
      <c r="I118" s="192"/>
      <c r="J118" s="192"/>
      <c r="K118" s="192"/>
      <c r="L118" s="192"/>
      <c r="M118" s="192"/>
      <c r="N118" s="192"/>
      <c r="O118" s="192"/>
      <c r="P118" s="219">
        <f>P116-P117</f>
        <v>1.2097278774636584</v>
      </c>
      <c r="Q118" s="222">
        <f t="shared" ref="Q118:BK118" si="2101">Q116-Q117</f>
        <v>1.2283778489078898</v>
      </c>
      <c r="R118" s="222">
        <f t="shared" si="2101"/>
        <v>1.24731534074522</v>
      </c>
      <c r="S118" s="222">
        <f t="shared" si="2101"/>
        <v>1.2665447855817087</v>
      </c>
      <c r="T118" s="222">
        <f t="shared" si="2101"/>
        <v>1.2860706843594267</v>
      </c>
      <c r="U118" s="222">
        <f t="shared" si="2101"/>
        <v>1.305897607409968</v>
      </c>
      <c r="V118" s="222">
        <f t="shared" si="2101"/>
        <v>1.3260301955242049</v>
      </c>
      <c r="W118" s="222">
        <f t="shared" si="2101"/>
        <v>1.3464731610385363</v>
      </c>
      <c r="X118" s="222">
        <f t="shared" si="2101"/>
        <v>1.3672312889378804</v>
      </c>
      <c r="Y118" s="222">
        <f t="shared" si="2101"/>
        <v>1.3883094379756726</v>
      </c>
      <c r="Z118" s="222">
        <f t="shared" si="2101"/>
        <v>1.4097125418111309</v>
      </c>
      <c r="AA118" s="222">
        <f t="shared" si="2101"/>
        <v>1.4314456101640527</v>
      </c>
      <c r="AB118" s="222">
        <f t="shared" si="2101"/>
        <v>1.453513729987415</v>
      </c>
      <c r="AC118" s="222">
        <f t="shared" si="2101"/>
        <v>1.4759220666580544</v>
      </c>
      <c r="AD118" s="222">
        <f t="shared" si="2101"/>
        <v>1.4986758651856995</v>
      </c>
      <c r="AE118" s="222">
        <f t="shared" si="2101"/>
        <v>1.5217804514406457</v>
      </c>
      <c r="AF118" s="222">
        <f t="shared" si="2101"/>
        <v>1.5452412334003556</v>
      </c>
      <c r="AG118" s="222">
        <f t="shared" si="2101"/>
        <v>1.5690637024152778</v>
      </c>
      <c r="AH118" s="222">
        <f t="shared" si="2101"/>
        <v>1.59325343449418</v>
      </c>
      <c r="AI118" s="222">
        <f t="shared" si="2101"/>
        <v>0</v>
      </c>
      <c r="AJ118" s="222">
        <f t="shared" si="2101"/>
        <v>0</v>
      </c>
      <c r="AK118" s="222">
        <f t="shared" si="2101"/>
        <v>0</v>
      </c>
      <c r="AL118" s="222">
        <f t="shared" si="2101"/>
        <v>0</v>
      </c>
      <c r="AM118" s="222">
        <f t="shared" si="2101"/>
        <v>0</v>
      </c>
      <c r="AN118" s="222">
        <f t="shared" si="2101"/>
        <v>0</v>
      </c>
      <c r="AO118" s="222">
        <f t="shared" si="2101"/>
        <v>0</v>
      </c>
      <c r="AP118" s="222">
        <f t="shared" si="2101"/>
        <v>0</v>
      </c>
      <c r="AQ118" s="222">
        <f t="shared" si="2101"/>
        <v>0</v>
      </c>
      <c r="AR118" s="222">
        <f t="shared" si="2101"/>
        <v>0</v>
      </c>
      <c r="AS118" s="222">
        <f t="shared" si="2101"/>
        <v>0</v>
      </c>
      <c r="AT118" s="222">
        <f t="shared" si="2101"/>
        <v>0</v>
      </c>
      <c r="AU118" s="222">
        <f t="shared" si="2101"/>
        <v>0</v>
      </c>
      <c r="AV118" s="222">
        <f t="shared" si="2101"/>
        <v>0</v>
      </c>
      <c r="AW118" s="222">
        <f t="shared" si="2101"/>
        <v>0</v>
      </c>
      <c r="AX118" s="222">
        <f t="shared" si="2101"/>
        <v>0</v>
      </c>
      <c r="AY118" s="222">
        <f t="shared" si="2101"/>
        <v>0</v>
      </c>
      <c r="AZ118" s="222">
        <f t="shared" si="2101"/>
        <v>0</v>
      </c>
      <c r="BA118" s="222">
        <f t="shared" si="2101"/>
        <v>0</v>
      </c>
      <c r="BB118" s="222">
        <f t="shared" si="2101"/>
        <v>0</v>
      </c>
      <c r="BC118" s="222">
        <f t="shared" si="2101"/>
        <v>0</v>
      </c>
      <c r="BD118" s="222">
        <f t="shared" si="2101"/>
        <v>0</v>
      </c>
      <c r="BE118" s="222">
        <f t="shared" si="2101"/>
        <v>0</v>
      </c>
      <c r="BF118" s="222">
        <f t="shared" si="2101"/>
        <v>0</v>
      </c>
      <c r="BG118" s="222">
        <f t="shared" si="2101"/>
        <v>0</v>
      </c>
      <c r="BH118" s="222">
        <f t="shared" si="2101"/>
        <v>0</v>
      </c>
      <c r="BI118" s="222">
        <f t="shared" si="2101"/>
        <v>0</v>
      </c>
      <c r="BJ118" s="222">
        <f t="shared" si="2101"/>
        <v>0</v>
      </c>
      <c r="BK118" s="222">
        <f t="shared" si="2101"/>
        <v>0</v>
      </c>
    </row>
    <row r="119" spans="1:63" ht="7.8" x14ac:dyDescent="0.15">
      <c r="A119" s="205" t="s">
        <v>7</v>
      </c>
      <c r="B119" s="192"/>
      <c r="C119" s="192"/>
      <c r="D119" s="192"/>
      <c r="E119" s="192"/>
      <c r="F119" s="192"/>
      <c r="G119" s="192"/>
      <c r="H119" s="192"/>
      <c r="I119" s="192"/>
      <c r="J119" s="192"/>
      <c r="K119" s="192"/>
      <c r="L119" s="192"/>
      <c r="M119" s="192"/>
      <c r="N119" s="192"/>
      <c r="O119" s="192"/>
      <c r="P119" s="214" cm="1">
        <f t="array" ref="P119">INDEX(LoanOriginations,$A114)</f>
        <v>106.16778118644979</v>
      </c>
      <c r="Q119" s="199">
        <f t="shared" ref="Q119:BK119" si="2102">P119*(1-MitigateDelinquency*MitigateChargeoff)  *  IF(Q114=0,0,IF(Q114-102=LoanSaleHeld,0.6,1))</f>
        <v>106.06161340526333</v>
      </c>
      <c r="R119" s="199">
        <f t="shared" si="2102"/>
        <v>105.95555179185807</v>
      </c>
      <c r="S119" s="199">
        <f t="shared" si="2102"/>
        <v>105.84959624006622</v>
      </c>
      <c r="T119" s="199">
        <f t="shared" si="2102"/>
        <v>63.446247986295688</v>
      </c>
      <c r="U119" s="199">
        <f t="shared" si="2102"/>
        <v>63.382801738309389</v>
      </c>
      <c r="V119" s="199">
        <f t="shared" si="2102"/>
        <v>63.319418936571083</v>
      </c>
      <c r="W119" s="199">
        <f t="shared" si="2102"/>
        <v>63.25609951763451</v>
      </c>
      <c r="X119" s="199">
        <f t="shared" si="2102"/>
        <v>63.192843418116873</v>
      </c>
      <c r="Y119" s="199">
        <f t="shared" si="2102"/>
        <v>63.129650574698758</v>
      </c>
      <c r="Z119" s="199">
        <f t="shared" si="2102"/>
        <v>63.066520924124056</v>
      </c>
      <c r="AA119" s="199">
        <f t="shared" si="2102"/>
        <v>63.003454403199932</v>
      </c>
      <c r="AB119" s="199">
        <f t="shared" si="2102"/>
        <v>62.94045094879673</v>
      </c>
      <c r="AC119" s="199">
        <f t="shared" si="2102"/>
        <v>62.877510497847936</v>
      </c>
      <c r="AD119" s="199">
        <f t="shared" si="2102"/>
        <v>62.814632987350087</v>
      </c>
      <c r="AE119" s="199">
        <f t="shared" si="2102"/>
        <v>62.75181835436274</v>
      </c>
      <c r="AF119" s="199">
        <f t="shared" si="2102"/>
        <v>62.689066536008376</v>
      </c>
      <c r="AG119" s="199">
        <f t="shared" si="2102"/>
        <v>62.626377469472366</v>
      </c>
      <c r="AH119" s="199">
        <f t="shared" si="2102"/>
        <v>62.563751092002896</v>
      </c>
      <c r="AI119" s="199">
        <f t="shared" si="2102"/>
        <v>0</v>
      </c>
      <c r="AJ119" s="199">
        <f t="shared" si="2102"/>
        <v>0</v>
      </c>
      <c r="AK119" s="199">
        <f t="shared" si="2102"/>
        <v>0</v>
      </c>
      <c r="AL119" s="199">
        <f t="shared" si="2102"/>
        <v>0</v>
      </c>
      <c r="AM119" s="199">
        <f t="shared" si="2102"/>
        <v>0</v>
      </c>
      <c r="AN119" s="199">
        <f t="shared" si="2102"/>
        <v>0</v>
      </c>
      <c r="AO119" s="199">
        <f t="shared" si="2102"/>
        <v>0</v>
      </c>
      <c r="AP119" s="199">
        <f t="shared" si="2102"/>
        <v>0</v>
      </c>
      <c r="AQ119" s="199">
        <f t="shared" si="2102"/>
        <v>0</v>
      </c>
      <c r="AR119" s="199">
        <f t="shared" si="2102"/>
        <v>0</v>
      </c>
      <c r="AS119" s="199">
        <f t="shared" si="2102"/>
        <v>0</v>
      </c>
      <c r="AT119" s="199">
        <f t="shared" si="2102"/>
        <v>0</v>
      </c>
      <c r="AU119" s="199">
        <f t="shared" si="2102"/>
        <v>0</v>
      </c>
      <c r="AV119" s="199">
        <f t="shared" si="2102"/>
        <v>0</v>
      </c>
      <c r="AW119" s="199">
        <f t="shared" si="2102"/>
        <v>0</v>
      </c>
      <c r="AX119" s="199">
        <f t="shared" si="2102"/>
        <v>0</v>
      </c>
      <c r="AY119" s="199">
        <f t="shared" si="2102"/>
        <v>0</v>
      </c>
      <c r="AZ119" s="199">
        <f t="shared" si="2102"/>
        <v>0</v>
      </c>
      <c r="BA119" s="199">
        <f t="shared" si="2102"/>
        <v>0</v>
      </c>
      <c r="BB119" s="199">
        <f t="shared" si="2102"/>
        <v>0</v>
      </c>
      <c r="BC119" s="199">
        <f t="shared" si="2102"/>
        <v>0</v>
      </c>
      <c r="BD119" s="199">
        <f t="shared" si="2102"/>
        <v>0</v>
      </c>
      <c r="BE119" s="199">
        <f t="shared" si="2102"/>
        <v>0</v>
      </c>
      <c r="BF119" s="199">
        <f t="shared" si="2102"/>
        <v>0</v>
      </c>
      <c r="BG119" s="199">
        <f t="shared" si="2102"/>
        <v>0</v>
      </c>
      <c r="BH119" s="199">
        <f t="shared" si="2102"/>
        <v>0</v>
      </c>
      <c r="BI119" s="199">
        <f t="shared" si="2102"/>
        <v>0</v>
      </c>
      <c r="BJ119" s="199">
        <f t="shared" si="2102"/>
        <v>0</v>
      </c>
      <c r="BK119" s="199">
        <f t="shared" si="2102"/>
        <v>0</v>
      </c>
    </row>
    <row r="120" spans="1:63" ht="7.8" x14ac:dyDescent="0.15">
      <c r="A120" s="207" t="s">
        <v>96</v>
      </c>
      <c r="B120" s="192"/>
      <c r="C120" s="192"/>
      <c r="D120" s="192"/>
      <c r="E120" s="192"/>
      <c r="F120" s="192"/>
      <c r="G120" s="192"/>
      <c r="H120" s="192"/>
      <c r="I120" s="192"/>
      <c r="J120" s="192"/>
      <c r="K120" s="192"/>
      <c r="L120" s="192"/>
      <c r="M120" s="192"/>
      <c r="N120" s="192"/>
      <c r="O120" s="192"/>
      <c r="P120" s="223">
        <f>P117*P119</f>
        <v>40.918832332277525</v>
      </c>
      <c r="Q120" s="200">
        <f t="shared" ref="Q120" si="2103">Q117*Q119</f>
        <v>38.89986743860797</v>
      </c>
      <c r="R120" s="200">
        <f t="shared" ref="R120" si="2104">R117*R119</f>
        <v>36.854435173991256</v>
      </c>
      <c r="S120" s="200">
        <f t="shared" ref="S120" si="2105">S117*S119</f>
        <v>34.7821517669543</v>
      </c>
      <c r="T120" s="200">
        <f t="shared" ref="T120" si="2106">T117*T119</f>
        <v>19.609576753106001</v>
      </c>
      <c r="U120" s="200">
        <f t="shared" ref="U120" si="2107">U117*U119</f>
        <v>18.333281243559728</v>
      </c>
      <c r="V120" s="200">
        <f t="shared" ref="V120" si="2108">V117*V119</f>
        <v>17.040164181233369</v>
      </c>
      <c r="W120" s="200">
        <f t="shared" ref="W120" si="2109">W117*W119</f>
        <v>15.72998175604201</v>
      </c>
      <c r="X120" s="200">
        <f t="shared" ref="X120" si="2110">X117*X119</f>
        <v>14.402486648289472</v>
      </c>
      <c r="Y120" s="200">
        <f t="shared" ref="Y120" si="2111">Y117*Y119</f>
        <v>13.057427978123931</v>
      </c>
      <c r="Z120" s="200">
        <f t="shared" ref="Z120" si="2112">Z117*Z119</f>
        <v>11.694551254265676</v>
      </c>
      <c r="AA120" s="200">
        <f t="shared" ref="AA120" si="2113">AA117*AA119</f>
        <v>10.313598321996485</v>
      </c>
      <c r="AB120" s="200">
        <f t="shared" ref="AB120" si="2114">AB117*AB119</f>
        <v>8.9143073103999733</v>
      </c>
      <c r="AC120" s="200">
        <f t="shared" ref="AC120" si="2115">AC117*AC119</f>
        <v>7.496412578842139</v>
      </c>
      <c r="AD120" s="200">
        <f t="shared" ref="AD120" si="2116">AD117*AD119</f>
        <v>6.0596446626811691</v>
      </c>
      <c r="AE120" s="200">
        <f t="shared" ref="AE120" si="2117">AE117*AE119</f>
        <v>4.6037302181953983</v>
      </c>
      <c r="AF120" s="200">
        <f t="shared" ref="AF120" si="2118">AF117*AF119</f>
        <v>3.1283919667181608</v>
      </c>
      <c r="AG120" s="200">
        <f t="shared" ref="AG120" si="2119">AG117*AG119</f>
        <v>1.6333486379681184</v>
      </c>
      <c r="AH120" s="200">
        <f t="shared" ref="AH120" si="2120">AH117*AH119</f>
        <v>0.11831491256347544</v>
      </c>
      <c r="AI120" s="200">
        <f t="shared" ref="AI120" si="2121">AI117*AI119</f>
        <v>0</v>
      </c>
      <c r="AJ120" s="200">
        <f t="shared" ref="AJ120" si="2122">AJ117*AJ119</f>
        <v>0</v>
      </c>
      <c r="AK120" s="200">
        <f t="shared" ref="AK120" si="2123">AK117*AK119</f>
        <v>0</v>
      </c>
      <c r="AL120" s="200">
        <f t="shared" ref="AL120" si="2124">AL117*AL119</f>
        <v>0</v>
      </c>
      <c r="AM120" s="200">
        <f t="shared" ref="AM120" si="2125">AM117*AM119</f>
        <v>0</v>
      </c>
      <c r="AN120" s="200">
        <f t="shared" ref="AN120" si="2126">AN117*AN119</f>
        <v>0</v>
      </c>
      <c r="AO120" s="200">
        <f t="shared" ref="AO120" si="2127">AO117*AO119</f>
        <v>0</v>
      </c>
      <c r="AP120" s="200">
        <f t="shared" ref="AP120" si="2128">AP117*AP119</f>
        <v>0</v>
      </c>
      <c r="AQ120" s="200">
        <f t="shared" ref="AQ120" si="2129">AQ117*AQ119</f>
        <v>0</v>
      </c>
      <c r="AR120" s="200">
        <f t="shared" ref="AR120" si="2130">AR117*AR119</f>
        <v>0</v>
      </c>
      <c r="AS120" s="200">
        <f t="shared" ref="AS120" si="2131">AS117*AS119</f>
        <v>0</v>
      </c>
      <c r="AT120" s="200">
        <f t="shared" ref="AT120" si="2132">AT117*AT119</f>
        <v>0</v>
      </c>
      <c r="AU120" s="200">
        <f t="shared" ref="AU120" si="2133">AU117*AU119</f>
        <v>0</v>
      </c>
      <c r="AV120" s="200">
        <f t="shared" ref="AV120" si="2134">AV117*AV119</f>
        <v>0</v>
      </c>
      <c r="AW120" s="200">
        <f t="shared" ref="AW120" si="2135">AW117*AW119</f>
        <v>0</v>
      </c>
      <c r="AX120" s="200">
        <f t="shared" ref="AX120" si="2136">AX117*AX119</f>
        <v>0</v>
      </c>
      <c r="AY120" s="200">
        <f t="shared" ref="AY120" si="2137">AY117*AY119</f>
        <v>0</v>
      </c>
      <c r="AZ120" s="200">
        <f t="shared" ref="AZ120" si="2138">AZ117*AZ119</f>
        <v>0</v>
      </c>
      <c r="BA120" s="200">
        <f t="shared" ref="BA120" si="2139">BA117*BA119</f>
        <v>0</v>
      </c>
      <c r="BB120" s="200">
        <f t="shared" ref="BB120" si="2140">BB117*BB119</f>
        <v>0</v>
      </c>
      <c r="BC120" s="200">
        <f t="shared" ref="BC120" si="2141">BC117*BC119</f>
        <v>0</v>
      </c>
      <c r="BD120" s="200">
        <f t="shared" ref="BD120" si="2142">BD117*BD119</f>
        <v>0</v>
      </c>
      <c r="BE120" s="200">
        <f t="shared" ref="BE120" si="2143">BE117*BE119</f>
        <v>0</v>
      </c>
      <c r="BF120" s="200">
        <f t="shared" ref="BF120" si="2144">BF117*BF119</f>
        <v>0</v>
      </c>
      <c r="BG120" s="200">
        <f t="shared" ref="BG120" si="2145">BG117*BG119</f>
        <v>0</v>
      </c>
      <c r="BH120" s="200">
        <f t="shared" ref="BH120" si="2146">BH117*BH119</f>
        <v>0</v>
      </c>
      <c r="BI120" s="200">
        <f t="shared" ref="BI120" si="2147">BI117*BI119</f>
        <v>0</v>
      </c>
      <c r="BJ120" s="200">
        <f t="shared" ref="BJ120" si="2148">BJ117*BJ119</f>
        <v>0</v>
      </c>
      <c r="BK120" s="200">
        <f t="shared" ref="BK120" si="2149">BK117*BK119</f>
        <v>0</v>
      </c>
    </row>
    <row r="121" spans="1:63" ht="7.8" x14ac:dyDescent="0.15">
      <c r="A121" s="206" t="s">
        <v>97</v>
      </c>
      <c r="B121" s="192"/>
      <c r="C121" s="192"/>
      <c r="D121" s="192"/>
      <c r="E121" s="192"/>
      <c r="F121" s="192"/>
      <c r="G121" s="192"/>
      <c r="H121" s="192"/>
      <c r="I121" s="192"/>
      <c r="J121" s="192"/>
      <c r="K121" s="192"/>
      <c r="L121" s="192"/>
      <c r="M121" s="192"/>
      <c r="N121" s="192"/>
      <c r="O121" s="192"/>
      <c r="P121" s="223">
        <f>P118*P119</f>
        <v>128.43412458971002</v>
      </c>
      <c r="Q121" s="200">
        <f>Q118*Q119</f>
        <v>130.28373652645757</v>
      </c>
      <c r="R121" s="200">
        <f t="shared" ref="R121:BK121" si="2150">R118*R119</f>
        <v>132.15998518710924</v>
      </c>
      <c r="S121" s="200">
        <f t="shared" si="2150"/>
        <v>134.06325417378511</v>
      </c>
      <c r="T121" s="200">
        <f t="shared" si="2150"/>
        <v>81.596359567773192</v>
      </c>
      <c r="U121" s="200">
        <f t="shared" si="2150"/>
        <v>82.771449140998584</v>
      </c>
      <c r="V121" s="200">
        <f t="shared" si="2150"/>
        <v>83.963461472940395</v>
      </c>
      <c r="W121" s="200">
        <f t="shared" si="2150"/>
        <v>85.172640272477565</v>
      </c>
      <c r="X121" s="200">
        <f t="shared" si="2150"/>
        <v>86.399232758201578</v>
      </c>
      <c r="Y121" s="200">
        <f t="shared" si="2150"/>
        <v>87.64348970896063</v>
      </c>
      <c r="Z121" s="200">
        <f t="shared" si="2150"/>
        <v>88.905665515131801</v>
      </c>
      <c r="AA121" s="200">
        <f t="shared" si="2150"/>
        <v>90.186018230631603</v>
      </c>
      <c r="AB121" s="200">
        <f t="shared" si="2150"/>
        <v>91.484809625675467</v>
      </c>
      <c r="AC121" s="200">
        <f t="shared" si="2150"/>
        <v>92.80230524029723</v>
      </c>
      <c r="AD121" s="200">
        <f t="shared" si="2150"/>
        <v>94.138774438639075</v>
      </c>
      <c r="AE121" s="200">
        <f t="shared" si="2150"/>
        <v>95.494490464023528</v>
      </c>
      <c r="AF121" s="200">
        <f t="shared" si="2150"/>
        <v>96.86973049481854</v>
      </c>
      <c r="AG121" s="200">
        <f t="shared" si="2150"/>
        <v>98.264775701107055</v>
      </c>
      <c r="AH121" s="200">
        <f t="shared" si="2150"/>
        <v>99.679911302172613</v>
      </c>
      <c r="AI121" s="200">
        <f t="shared" si="2150"/>
        <v>0</v>
      </c>
      <c r="AJ121" s="200">
        <f t="shared" si="2150"/>
        <v>0</v>
      </c>
      <c r="AK121" s="200">
        <f t="shared" si="2150"/>
        <v>0</v>
      </c>
      <c r="AL121" s="200">
        <f t="shared" si="2150"/>
        <v>0</v>
      </c>
      <c r="AM121" s="200">
        <f t="shared" si="2150"/>
        <v>0</v>
      </c>
      <c r="AN121" s="200">
        <f t="shared" si="2150"/>
        <v>0</v>
      </c>
      <c r="AO121" s="200">
        <f t="shared" si="2150"/>
        <v>0</v>
      </c>
      <c r="AP121" s="200">
        <f t="shared" si="2150"/>
        <v>0</v>
      </c>
      <c r="AQ121" s="200">
        <f t="shared" si="2150"/>
        <v>0</v>
      </c>
      <c r="AR121" s="200">
        <f t="shared" si="2150"/>
        <v>0</v>
      </c>
      <c r="AS121" s="200">
        <f t="shared" si="2150"/>
        <v>0</v>
      </c>
      <c r="AT121" s="200">
        <f t="shared" si="2150"/>
        <v>0</v>
      </c>
      <c r="AU121" s="200">
        <f t="shared" si="2150"/>
        <v>0</v>
      </c>
      <c r="AV121" s="200">
        <f t="shared" si="2150"/>
        <v>0</v>
      </c>
      <c r="AW121" s="200">
        <f t="shared" si="2150"/>
        <v>0</v>
      </c>
      <c r="AX121" s="200">
        <f t="shared" si="2150"/>
        <v>0</v>
      </c>
      <c r="AY121" s="200">
        <f t="shared" si="2150"/>
        <v>0</v>
      </c>
      <c r="AZ121" s="200">
        <f t="shared" si="2150"/>
        <v>0</v>
      </c>
      <c r="BA121" s="200">
        <f t="shared" si="2150"/>
        <v>0</v>
      </c>
      <c r="BB121" s="200">
        <f t="shared" si="2150"/>
        <v>0</v>
      </c>
      <c r="BC121" s="200">
        <f t="shared" si="2150"/>
        <v>0</v>
      </c>
      <c r="BD121" s="200">
        <f t="shared" si="2150"/>
        <v>0</v>
      </c>
      <c r="BE121" s="200">
        <f t="shared" si="2150"/>
        <v>0</v>
      </c>
      <c r="BF121" s="200">
        <f t="shared" si="2150"/>
        <v>0</v>
      </c>
      <c r="BG121" s="200">
        <f t="shared" si="2150"/>
        <v>0</v>
      </c>
      <c r="BH121" s="200">
        <f t="shared" si="2150"/>
        <v>0</v>
      </c>
      <c r="BI121" s="200">
        <f t="shared" si="2150"/>
        <v>0</v>
      </c>
      <c r="BJ121" s="200">
        <f t="shared" si="2150"/>
        <v>0</v>
      </c>
      <c r="BK121" s="200">
        <f t="shared" si="2150"/>
        <v>0</v>
      </c>
    </row>
    <row r="122" spans="1:63" ht="7.8" x14ac:dyDescent="0.15">
      <c r="A122" s="208" t="s">
        <v>203</v>
      </c>
      <c r="B122" s="192"/>
      <c r="C122" s="192"/>
      <c r="D122" s="192"/>
      <c r="E122" s="192"/>
      <c r="F122" s="192"/>
      <c r="G122" s="192"/>
      <c r="H122" s="192"/>
      <c r="I122" s="192"/>
      <c r="J122" s="192"/>
      <c r="K122" s="192"/>
      <c r="L122" s="192"/>
      <c r="M122" s="192"/>
      <c r="N122" s="192"/>
      <c r="O122" s="192"/>
      <c r="P122" s="224">
        <f>IF(P114-101&lt;&gt;LoanSaleHeld,0,SUM($D121:P121)*LoanSalePercent)</f>
        <v>0</v>
      </c>
      <c r="Q122" s="225">
        <f>IF(Q114-101&lt;&gt;LoanSaleHeld,0,SUM($D121:Q121)*LoanSalePercent)</f>
        <v>0</v>
      </c>
      <c r="R122" s="225">
        <f>IF(R114-101&lt;&gt;LoanSaleHeld,0,SUM($D121:R121)*LoanSalePercent)</f>
        <v>0</v>
      </c>
      <c r="S122" s="225">
        <f>IF(S114-101&lt;&gt;LoanSaleHeld,0,SUM($D121:S121)*LoanSalePercent)</f>
        <v>209.97644019082477</v>
      </c>
      <c r="T122" s="225">
        <f>IF(T114-101&lt;&gt;LoanSaleHeld,0,SUM($D121:T121)*LoanSalePercent)</f>
        <v>0</v>
      </c>
      <c r="U122" s="225">
        <f>IF(U114-101&lt;&gt;LoanSaleHeld,0,SUM($D121:U121)*LoanSalePercent)</f>
        <v>0</v>
      </c>
      <c r="V122" s="225">
        <f>IF(V114-101&lt;&gt;LoanSaleHeld,0,SUM($D121:V121)*LoanSalePercent)</f>
        <v>0</v>
      </c>
      <c r="W122" s="225">
        <f>IF(W114-101&lt;&gt;LoanSaleHeld,0,SUM($D121:W121)*LoanSalePercent)</f>
        <v>0</v>
      </c>
      <c r="X122" s="225">
        <f>IF(X114-101&lt;&gt;LoanSaleHeld,0,SUM($D121:X121)*LoanSalePercent)</f>
        <v>0</v>
      </c>
      <c r="Y122" s="225">
        <f>IF(Y114-101&lt;&gt;LoanSaleHeld,0,SUM($D121:Y121)*LoanSalePercent)</f>
        <v>0</v>
      </c>
      <c r="Z122" s="225">
        <f>IF(Z114-101&lt;&gt;LoanSaleHeld,0,SUM($D121:Z121)*LoanSalePercent)</f>
        <v>0</v>
      </c>
      <c r="AA122" s="225">
        <f>IF(AA114-101&lt;&gt;LoanSaleHeld,0,SUM($D121:AA121)*LoanSalePercent)</f>
        <v>0</v>
      </c>
      <c r="AB122" s="225">
        <f>IF(AB114-101&lt;&gt;LoanSaleHeld,0,SUM($D121:AB121)*LoanSalePercent)</f>
        <v>0</v>
      </c>
      <c r="AC122" s="225">
        <f>IF(AC114-101&lt;&gt;LoanSaleHeld,0,SUM($D121:AC121)*LoanSalePercent)</f>
        <v>0</v>
      </c>
      <c r="AD122" s="225">
        <f>IF(AD114-101&lt;&gt;LoanSaleHeld,0,SUM($D121:AD121)*LoanSalePercent)</f>
        <v>0</v>
      </c>
      <c r="AE122" s="225">
        <f>IF(AE114-101&lt;&gt;LoanSaleHeld,0,SUM($D121:AE121)*LoanSalePercent)</f>
        <v>0</v>
      </c>
      <c r="AF122" s="225">
        <f>IF(AF114-101&lt;&gt;LoanSaleHeld,0,SUM($D121:AF121)*LoanSalePercent)</f>
        <v>0</v>
      </c>
      <c r="AG122" s="225">
        <f>IF(AG114-101&lt;&gt;LoanSaleHeld,0,SUM($D121:AG121)*LoanSalePercent)</f>
        <v>0</v>
      </c>
      <c r="AH122" s="225">
        <f>IF(AH114-101&lt;&gt;LoanSaleHeld,0,SUM($D121:AH121)*LoanSalePercent)</f>
        <v>0</v>
      </c>
      <c r="AI122" s="225">
        <f>IF(AI114-101&lt;&gt;LoanSaleHeld,0,SUM($D121:AI121)*LoanSalePercent)</f>
        <v>0</v>
      </c>
      <c r="AJ122" s="225">
        <f>IF(AJ114-101&lt;&gt;LoanSaleHeld,0,SUM($D121:AJ121)*LoanSalePercent)</f>
        <v>0</v>
      </c>
      <c r="AK122" s="225">
        <f>IF(AK114-101&lt;&gt;LoanSaleHeld,0,SUM($D121:AK121)*LoanSalePercent)</f>
        <v>0</v>
      </c>
      <c r="AL122" s="225">
        <f>IF(AL114-101&lt;&gt;LoanSaleHeld,0,SUM($D121:AL121)*LoanSalePercent)</f>
        <v>0</v>
      </c>
      <c r="AM122" s="225">
        <f>IF(AM114-101&lt;&gt;LoanSaleHeld,0,SUM($D121:AM121)*LoanSalePercent)</f>
        <v>0</v>
      </c>
      <c r="AN122" s="225">
        <f>IF(AN114-101&lt;&gt;LoanSaleHeld,0,SUM($D121:AN121)*LoanSalePercent)</f>
        <v>0</v>
      </c>
      <c r="AO122" s="225">
        <f>IF(AO114-101&lt;&gt;LoanSaleHeld,0,SUM($D121:AO121)*LoanSalePercent)</f>
        <v>0</v>
      </c>
      <c r="AP122" s="225">
        <f>IF(AP114-101&lt;&gt;LoanSaleHeld,0,SUM($D121:AP121)*LoanSalePercent)</f>
        <v>0</v>
      </c>
      <c r="AQ122" s="225">
        <f>IF(AQ114-101&lt;&gt;LoanSaleHeld,0,SUM($D121:AQ121)*LoanSalePercent)</f>
        <v>0</v>
      </c>
      <c r="AR122" s="225">
        <f>IF(AR114-101&lt;&gt;LoanSaleHeld,0,SUM($D121:AR121)*LoanSalePercent)</f>
        <v>0</v>
      </c>
      <c r="AS122" s="225">
        <f>IF(AS114-101&lt;&gt;LoanSaleHeld,0,SUM($D121:AS121)*LoanSalePercent)</f>
        <v>0</v>
      </c>
      <c r="AT122" s="225">
        <f>IF(AT114-101&lt;&gt;LoanSaleHeld,0,SUM($D121:AT121)*LoanSalePercent)</f>
        <v>0</v>
      </c>
      <c r="AU122" s="225">
        <f>IF(AU114-101&lt;&gt;LoanSaleHeld,0,SUM($D121:AU121)*LoanSalePercent)</f>
        <v>0</v>
      </c>
      <c r="AV122" s="225">
        <f>IF(AV114-101&lt;&gt;LoanSaleHeld,0,SUM($D121:AV121)*LoanSalePercent)</f>
        <v>0</v>
      </c>
      <c r="AW122" s="225">
        <f>IF(AW114-101&lt;&gt;LoanSaleHeld,0,SUM($D121:AW121)*LoanSalePercent)</f>
        <v>0</v>
      </c>
      <c r="AX122" s="225">
        <f>IF(AX114-101&lt;&gt;LoanSaleHeld,0,SUM($D121:AX121)*LoanSalePercent)</f>
        <v>0</v>
      </c>
      <c r="AY122" s="225">
        <f>IF(AY114-101&lt;&gt;LoanSaleHeld,0,SUM($D121:AY121)*LoanSalePercent)</f>
        <v>0</v>
      </c>
      <c r="AZ122" s="225">
        <f>IF(AZ114-101&lt;&gt;LoanSaleHeld,0,SUM($D121:AZ121)*LoanSalePercent)</f>
        <v>0</v>
      </c>
      <c r="BA122" s="225">
        <f>IF(BA114-101&lt;&gt;LoanSaleHeld,0,SUM($D121:BA121)*LoanSalePercent)</f>
        <v>0</v>
      </c>
      <c r="BB122" s="225">
        <f>IF(BB114-101&lt;&gt;LoanSaleHeld,0,SUM($D121:BB121)*LoanSalePercent)</f>
        <v>0</v>
      </c>
      <c r="BC122" s="225">
        <f>IF(BC114-101&lt;&gt;LoanSaleHeld,0,SUM($D121:BC121)*LoanSalePercent)</f>
        <v>0</v>
      </c>
      <c r="BD122" s="225">
        <f>IF(BD114-101&lt;&gt;LoanSaleHeld,0,SUM($D121:BD121)*LoanSalePercent)</f>
        <v>0</v>
      </c>
      <c r="BE122" s="225">
        <f>IF(BE114-101&lt;&gt;LoanSaleHeld,0,SUM($D121:BE121)*LoanSalePercent)</f>
        <v>0</v>
      </c>
      <c r="BF122" s="225">
        <f>IF(BF114-101&lt;&gt;LoanSaleHeld,0,SUM($D121:BF121)*LoanSalePercent)</f>
        <v>0</v>
      </c>
      <c r="BG122" s="225">
        <f>IF(BG114-101&lt;&gt;LoanSaleHeld,0,SUM($D121:BG121)*LoanSalePercent)</f>
        <v>0</v>
      </c>
      <c r="BH122" s="225">
        <f>IF(BH114-101&lt;&gt;LoanSaleHeld,0,SUM($D121:BH121)*LoanSalePercent)</f>
        <v>0</v>
      </c>
      <c r="BI122" s="225">
        <f>IF(BI114-101&lt;&gt;LoanSaleHeld,0,SUM($D121:BI121)*LoanSalePercent)</f>
        <v>0</v>
      </c>
      <c r="BJ122" s="225">
        <f>IF(BJ114-101&lt;&gt;LoanSaleHeld,0,SUM($D121:BJ121)*LoanSalePercent)</f>
        <v>0</v>
      </c>
      <c r="BK122" s="225">
        <f>IF(BK114-101&lt;&gt;LoanSaleHeld,0,SUM($D121:BK121)*LoanSalePercent)</f>
        <v>0</v>
      </c>
    </row>
    <row r="123" spans="1:63" ht="7.8" x14ac:dyDescent="0.15">
      <c r="A123" s="204">
        <f t="shared" ref="A123" si="2151">A114+1</f>
        <v>14</v>
      </c>
      <c r="B123" s="192"/>
      <c r="C123" s="192"/>
      <c r="D123" s="192"/>
      <c r="E123" s="192"/>
      <c r="F123" s="192"/>
      <c r="G123" s="192"/>
      <c r="H123" s="192"/>
      <c r="I123" s="192"/>
      <c r="J123" s="192"/>
      <c r="K123" s="192"/>
      <c r="L123" s="192"/>
      <c r="M123" s="192"/>
      <c r="N123" s="192"/>
      <c r="O123" s="192"/>
      <c r="P123" s="192"/>
      <c r="Q123" s="195">
        <v>101</v>
      </c>
      <c r="R123" s="196">
        <f t="shared" ref="R123" si="2152">IF(R124=0,0,Q123+1)</f>
        <v>102</v>
      </c>
      <c r="S123" s="196">
        <f t="shared" ref="S123" si="2153">IF(S124=0,0,R123+1)</f>
        <v>103</v>
      </c>
      <c r="T123" s="196">
        <f t="shared" ref="T123" si="2154">IF(T124=0,0,S123+1)</f>
        <v>104</v>
      </c>
      <c r="U123" s="196">
        <f t="shared" ref="U123" si="2155">IF(U124=0,0,T123+1)</f>
        <v>105</v>
      </c>
      <c r="V123" s="196">
        <f t="shared" ref="V123" si="2156">IF(V124=0,0,U123+1)</f>
        <v>106</v>
      </c>
      <c r="W123" s="196">
        <f t="shared" ref="W123" si="2157">IF(W124=0,0,V123+1)</f>
        <v>107</v>
      </c>
      <c r="X123" s="196">
        <f t="shared" ref="X123" si="2158">IF(X124=0,0,W123+1)</f>
        <v>108</v>
      </c>
      <c r="Y123" s="196">
        <f t="shared" ref="Y123" si="2159">IF(Y124=0,0,X123+1)</f>
        <v>109</v>
      </c>
      <c r="Z123" s="196">
        <f t="shared" ref="Z123" si="2160">IF(Z124=0,0,Y123+1)</f>
        <v>110</v>
      </c>
      <c r="AA123" s="196">
        <f t="shared" ref="AA123" si="2161">IF(AA124=0,0,Z123+1)</f>
        <v>111</v>
      </c>
      <c r="AB123" s="196">
        <f t="shared" ref="AB123" si="2162">IF(AB124=0,0,AA123+1)</f>
        <v>112</v>
      </c>
      <c r="AC123" s="196">
        <f t="shared" ref="AC123" si="2163">IF(AC124=0,0,AB123+1)</f>
        <v>113</v>
      </c>
      <c r="AD123" s="196">
        <f t="shared" ref="AD123" si="2164">IF(AD124=0,0,AC123+1)</f>
        <v>114</v>
      </c>
      <c r="AE123" s="196">
        <f t="shared" ref="AE123" si="2165">IF(AE124=0,0,AD123+1)</f>
        <v>115</v>
      </c>
      <c r="AF123" s="196">
        <f t="shared" ref="AF123" si="2166">IF(AF124=0,0,AE123+1)</f>
        <v>116</v>
      </c>
      <c r="AG123" s="196">
        <f t="shared" ref="AG123" si="2167">IF(AG124=0,0,AF123+1)</f>
        <v>117</v>
      </c>
      <c r="AH123" s="196">
        <f t="shared" ref="AH123" si="2168">IF(AH124=0,0,AG123+1)</f>
        <v>118</v>
      </c>
      <c r="AI123" s="196">
        <f t="shared" ref="AI123" si="2169">IF(AI124=0,0,AH123+1)</f>
        <v>119</v>
      </c>
      <c r="AJ123" s="196">
        <f t="shared" ref="AJ123" si="2170">IF(AJ124=0,0,AI123+1)</f>
        <v>0</v>
      </c>
      <c r="AK123" s="196">
        <f t="shared" ref="AK123" si="2171">IF(AK124=0,0,AJ123+1)</f>
        <v>0</v>
      </c>
      <c r="AL123" s="196">
        <f t="shared" ref="AL123" si="2172">IF(AL124=0,0,AK123+1)</f>
        <v>0</v>
      </c>
      <c r="AM123" s="196">
        <f t="shared" ref="AM123" si="2173">IF(AM124=0,0,AL123+1)</f>
        <v>0</v>
      </c>
      <c r="AN123" s="196">
        <f t="shared" ref="AN123" si="2174">IF(AN124=0,0,AM123+1)</f>
        <v>0</v>
      </c>
      <c r="AO123" s="196">
        <f t="shared" ref="AO123" si="2175">IF(AO124=0,0,AN123+1)</f>
        <v>0</v>
      </c>
      <c r="AP123" s="196">
        <f t="shared" ref="AP123" si="2176">IF(AP124=0,0,AO123+1)</f>
        <v>0</v>
      </c>
      <c r="AQ123" s="196">
        <f t="shared" ref="AQ123" si="2177">IF(AQ124=0,0,AP123+1)</f>
        <v>0</v>
      </c>
      <c r="AR123" s="196">
        <f t="shared" ref="AR123" si="2178">IF(AR124=0,0,AQ123+1)</f>
        <v>0</v>
      </c>
      <c r="AS123" s="196">
        <f t="shared" ref="AS123" si="2179">IF(AS124=0,0,AR123+1)</f>
        <v>0</v>
      </c>
      <c r="AT123" s="196">
        <f t="shared" ref="AT123" si="2180">IF(AT124=0,0,AS123+1)</f>
        <v>0</v>
      </c>
      <c r="AU123" s="196">
        <f t="shared" ref="AU123" si="2181">IF(AU124=0,0,AT123+1)</f>
        <v>0</v>
      </c>
      <c r="AV123" s="196">
        <f t="shared" ref="AV123" si="2182">IF(AV124=0,0,AU123+1)</f>
        <v>0</v>
      </c>
      <c r="AW123" s="196">
        <f t="shared" ref="AW123" si="2183">IF(AW124=0,0,AV123+1)</f>
        <v>0</v>
      </c>
      <c r="AX123" s="196">
        <f t="shared" ref="AX123" si="2184">IF(AX124=0,0,AW123+1)</f>
        <v>0</v>
      </c>
      <c r="AY123" s="196">
        <f t="shared" ref="AY123" si="2185">IF(AY124=0,0,AX123+1)</f>
        <v>0</v>
      </c>
      <c r="AZ123" s="196">
        <f t="shared" ref="AZ123" si="2186">IF(AZ124=0,0,AY123+1)</f>
        <v>0</v>
      </c>
      <c r="BA123" s="196">
        <f t="shared" ref="BA123" si="2187">IF(BA124=0,0,AZ123+1)</f>
        <v>0</v>
      </c>
      <c r="BB123" s="196">
        <f t="shared" ref="BB123" si="2188">IF(BB124=0,0,BA123+1)</f>
        <v>0</v>
      </c>
      <c r="BC123" s="196">
        <f t="shared" ref="BC123" si="2189">IF(BC124=0,0,BB123+1)</f>
        <v>0</v>
      </c>
      <c r="BD123" s="196">
        <f t="shared" ref="BD123" si="2190">IF(BD124=0,0,BC123+1)</f>
        <v>0</v>
      </c>
      <c r="BE123" s="196">
        <f t="shared" ref="BE123" si="2191">IF(BE124=0,0,BD123+1)</f>
        <v>0</v>
      </c>
      <c r="BF123" s="196">
        <f t="shared" ref="BF123" si="2192">IF(BF124=0,0,BE123+1)</f>
        <v>0</v>
      </c>
      <c r="BG123" s="196">
        <f t="shared" ref="BG123" si="2193">IF(BG124=0,0,BF123+1)</f>
        <v>0</v>
      </c>
      <c r="BH123" s="196">
        <f t="shared" ref="BH123" si="2194">IF(BH124=0,0,BG123+1)</f>
        <v>0</v>
      </c>
      <c r="BI123" s="196">
        <f t="shared" ref="BI123" si="2195">IF(BI124=0,0,BH123+1)</f>
        <v>0</v>
      </c>
      <c r="BJ123" s="196">
        <f t="shared" ref="BJ123" si="2196">IF(BJ124=0,0,BI123+1)</f>
        <v>0</v>
      </c>
      <c r="BK123" s="196">
        <f t="shared" ref="BK123" si="2197">IF(BK124=0,0,BJ123+1)</f>
        <v>0</v>
      </c>
    </row>
    <row r="124" spans="1:63" ht="7.8" x14ac:dyDescent="0.15">
      <c r="A124" s="216" t="s">
        <v>178</v>
      </c>
      <c r="B124" s="192"/>
      <c r="C124" s="192"/>
      <c r="D124" s="192"/>
      <c r="E124" s="192"/>
      <c r="F124" s="192"/>
      <c r="G124" s="192"/>
      <c r="H124" s="192"/>
      <c r="I124" s="192"/>
      <c r="J124" s="192"/>
      <c r="K124" s="192"/>
      <c r="L124" s="192"/>
      <c r="M124" s="192"/>
      <c r="N124" s="192"/>
      <c r="O124" s="192"/>
      <c r="P124" s="192"/>
      <c r="Q124" s="217">
        <f>LoanSize</f>
        <v>25</v>
      </c>
      <c r="R124" s="215">
        <f>IF(Q124-Q127&lt;=0.1,0,Q124-Q127)</f>
        <v>23.79027212253634</v>
      </c>
      <c r="S124" s="215">
        <f t="shared" ref="S124:BK124" si="2198">IF(R124-R127&lt;=0.1,0,R124-R127)</f>
        <v>22.56189427362845</v>
      </c>
      <c r="T124" s="215">
        <f t="shared" si="2198"/>
        <v>21.314578932883229</v>
      </c>
      <c r="U124" s="215">
        <f t="shared" si="2198"/>
        <v>20.048034147301522</v>
      </c>
      <c r="V124" s="215">
        <f t="shared" si="2198"/>
        <v>18.761963462942095</v>
      </c>
      <c r="W124" s="215">
        <f t="shared" si="2198"/>
        <v>17.456065855532128</v>
      </c>
      <c r="X124" s="215">
        <f t="shared" si="2198"/>
        <v>16.130035660007923</v>
      </c>
      <c r="Y124" s="215">
        <f t="shared" si="2198"/>
        <v>14.783562498969387</v>
      </c>
      <c r="Z124" s="215">
        <f t="shared" si="2198"/>
        <v>13.416331210031506</v>
      </c>
      <c r="AA124" s="215">
        <f t="shared" si="2198"/>
        <v>12.028021772055833</v>
      </c>
      <c r="AB124" s="215">
        <f t="shared" si="2198"/>
        <v>10.618309230244702</v>
      </c>
      <c r="AC124" s="215">
        <f t="shared" si="2198"/>
        <v>9.1868636200806488</v>
      </c>
      <c r="AD124" s="215">
        <f t="shared" si="2198"/>
        <v>7.7333498900932334</v>
      </c>
      <c r="AE124" s="215">
        <f t="shared" si="2198"/>
        <v>6.2574278234351794</v>
      </c>
      <c r="AF124" s="215">
        <f t="shared" si="2198"/>
        <v>4.7587519582494799</v>
      </c>
      <c r="AG124" s="215">
        <f t="shared" si="2198"/>
        <v>3.2369715068088345</v>
      </c>
      <c r="AH124" s="215">
        <f t="shared" si="2198"/>
        <v>1.6917302734084789</v>
      </c>
      <c r="AI124" s="215">
        <f t="shared" si="2198"/>
        <v>0.12266657099320111</v>
      </c>
      <c r="AJ124" s="215">
        <f t="shared" si="2198"/>
        <v>0</v>
      </c>
      <c r="AK124" s="215">
        <f t="shared" si="2198"/>
        <v>0</v>
      </c>
      <c r="AL124" s="215">
        <f t="shared" si="2198"/>
        <v>0</v>
      </c>
      <c r="AM124" s="215">
        <f t="shared" si="2198"/>
        <v>0</v>
      </c>
      <c r="AN124" s="215">
        <f t="shared" si="2198"/>
        <v>0</v>
      </c>
      <c r="AO124" s="215">
        <f t="shared" si="2198"/>
        <v>0</v>
      </c>
      <c r="AP124" s="215">
        <f t="shared" si="2198"/>
        <v>0</v>
      </c>
      <c r="AQ124" s="215">
        <f t="shared" si="2198"/>
        <v>0</v>
      </c>
      <c r="AR124" s="215">
        <f t="shared" si="2198"/>
        <v>0</v>
      </c>
      <c r="AS124" s="215">
        <f t="shared" si="2198"/>
        <v>0</v>
      </c>
      <c r="AT124" s="215">
        <f t="shared" si="2198"/>
        <v>0</v>
      </c>
      <c r="AU124" s="215">
        <f t="shared" si="2198"/>
        <v>0</v>
      </c>
      <c r="AV124" s="215">
        <f t="shared" si="2198"/>
        <v>0</v>
      </c>
      <c r="AW124" s="215">
        <f t="shared" si="2198"/>
        <v>0</v>
      </c>
      <c r="AX124" s="215">
        <f t="shared" si="2198"/>
        <v>0</v>
      </c>
      <c r="AY124" s="215">
        <f t="shared" si="2198"/>
        <v>0</v>
      </c>
      <c r="AZ124" s="215">
        <f t="shared" si="2198"/>
        <v>0</v>
      </c>
      <c r="BA124" s="215">
        <f t="shared" si="2198"/>
        <v>0</v>
      </c>
      <c r="BB124" s="215">
        <f t="shared" si="2198"/>
        <v>0</v>
      </c>
      <c r="BC124" s="215">
        <f t="shared" si="2198"/>
        <v>0</v>
      </c>
      <c r="BD124" s="215">
        <f t="shared" si="2198"/>
        <v>0</v>
      </c>
      <c r="BE124" s="215">
        <f t="shared" si="2198"/>
        <v>0</v>
      </c>
      <c r="BF124" s="215">
        <f t="shared" si="2198"/>
        <v>0</v>
      </c>
      <c r="BG124" s="215">
        <f t="shared" si="2198"/>
        <v>0</v>
      </c>
      <c r="BH124" s="215">
        <f t="shared" si="2198"/>
        <v>0</v>
      </c>
      <c r="BI124" s="215">
        <f t="shared" si="2198"/>
        <v>0</v>
      </c>
      <c r="BJ124" s="215">
        <f t="shared" si="2198"/>
        <v>0</v>
      </c>
      <c r="BK124" s="215">
        <f t="shared" si="2198"/>
        <v>0</v>
      </c>
    </row>
    <row r="125" spans="1:63" ht="7.8" x14ac:dyDescent="0.15">
      <c r="A125" s="218" t="s">
        <v>179</v>
      </c>
      <c r="B125" s="192"/>
      <c r="C125" s="192"/>
      <c r="D125" s="192"/>
      <c r="E125" s="192"/>
      <c r="F125" s="192"/>
      <c r="G125" s="192"/>
      <c r="H125" s="192"/>
      <c r="I125" s="192"/>
      <c r="J125" s="192"/>
      <c r="K125" s="192"/>
      <c r="L125" s="192"/>
      <c r="M125" s="192"/>
      <c r="N125" s="192"/>
      <c r="O125" s="192"/>
      <c r="P125" s="192"/>
      <c r="Q125" s="219">
        <f>IF(Q124=0,0,PMT(INDEX(LoanCohortRate,1),LoanTerm, -LoanSize))</f>
        <v>1.5951445441303251</v>
      </c>
      <c r="R125" s="222">
        <f t="shared" ref="R125" si="2199">IF(R124=0,0, Q125)</f>
        <v>1.5951445441303251</v>
      </c>
      <c r="S125" s="222">
        <f t="shared" ref="S125" si="2200">IF(S124=0,0, R125)</f>
        <v>1.5951445441303251</v>
      </c>
      <c r="T125" s="222">
        <f t="shared" ref="T125" si="2201">IF(T124=0,0, S125)</f>
        <v>1.5951445441303251</v>
      </c>
      <c r="U125" s="222">
        <f t="shared" ref="U125" si="2202">IF(U124=0,0, T125)</f>
        <v>1.5951445441303251</v>
      </c>
      <c r="V125" s="222">
        <f t="shared" ref="V125" si="2203">IF(V124=0,0, U125)</f>
        <v>1.5951445441303251</v>
      </c>
      <c r="W125" s="222">
        <f t="shared" ref="W125" si="2204">IF(W124=0,0, V125)</f>
        <v>1.5951445441303251</v>
      </c>
      <c r="X125" s="222">
        <f t="shared" ref="X125" si="2205">IF(X124=0,0, W125)</f>
        <v>1.5951445441303251</v>
      </c>
      <c r="Y125" s="222">
        <f t="shared" ref="Y125" si="2206">IF(Y124=0,0, X125)</f>
        <v>1.5951445441303251</v>
      </c>
      <c r="Z125" s="222">
        <f t="shared" ref="Z125" si="2207">IF(Z124=0,0, Y125)</f>
        <v>1.5951445441303251</v>
      </c>
      <c r="AA125" s="222">
        <f t="shared" ref="AA125" si="2208">IF(AA124=0,0, Z125)</f>
        <v>1.5951445441303251</v>
      </c>
      <c r="AB125" s="222">
        <f t="shared" ref="AB125" si="2209">IF(AB124=0,0, AA125)</f>
        <v>1.5951445441303251</v>
      </c>
      <c r="AC125" s="222">
        <f t="shared" ref="AC125" si="2210">IF(AC124=0,0, AB125)</f>
        <v>1.5951445441303251</v>
      </c>
      <c r="AD125" s="222">
        <f t="shared" ref="AD125" si="2211">IF(AD124=0,0, AC125)</f>
        <v>1.5951445441303251</v>
      </c>
      <c r="AE125" s="222">
        <f t="shared" ref="AE125" si="2212">IF(AE124=0,0, AD125)</f>
        <v>1.5951445441303251</v>
      </c>
      <c r="AF125" s="222">
        <f t="shared" ref="AF125" si="2213">IF(AF124=0,0, AE125)</f>
        <v>1.5951445441303251</v>
      </c>
      <c r="AG125" s="222">
        <f t="shared" ref="AG125" si="2214">IF(AG124=0,0, AF125)</f>
        <v>1.5951445441303251</v>
      </c>
      <c r="AH125" s="222">
        <f t="shared" ref="AH125" si="2215">IF(AH124=0,0, AG125)</f>
        <v>1.5951445441303251</v>
      </c>
      <c r="AI125" s="222">
        <f t="shared" ref="AI125" si="2216">IF(AI124=0,0, AH125)</f>
        <v>1.5951445441303251</v>
      </c>
      <c r="AJ125" s="222">
        <f t="shared" ref="AJ125" si="2217">IF(AJ124=0,0, AI125)</f>
        <v>0</v>
      </c>
      <c r="AK125" s="222">
        <f t="shared" ref="AK125" si="2218">IF(AK124=0,0, AJ125)</f>
        <v>0</v>
      </c>
      <c r="AL125" s="222">
        <f t="shared" ref="AL125" si="2219">IF(AL124=0,0, AK125)</f>
        <v>0</v>
      </c>
      <c r="AM125" s="222">
        <f t="shared" ref="AM125" si="2220">IF(AM124=0,0, AL125)</f>
        <v>0</v>
      </c>
      <c r="AN125" s="222">
        <f t="shared" ref="AN125" si="2221">IF(AN124=0,0, AM125)</f>
        <v>0</v>
      </c>
      <c r="AO125" s="222">
        <f t="shared" ref="AO125" si="2222">IF(AO124=0,0, AN125)</f>
        <v>0</v>
      </c>
      <c r="AP125" s="222">
        <f t="shared" ref="AP125" si="2223">IF(AP124=0,0, AO125)</f>
        <v>0</v>
      </c>
      <c r="AQ125" s="222">
        <f t="shared" ref="AQ125" si="2224">IF(AQ124=0,0, AP125)</f>
        <v>0</v>
      </c>
      <c r="AR125" s="222">
        <f t="shared" ref="AR125" si="2225">IF(AR124=0,0, AQ125)</f>
        <v>0</v>
      </c>
      <c r="AS125" s="222">
        <f t="shared" ref="AS125" si="2226">IF(AS124=0,0, AR125)</f>
        <v>0</v>
      </c>
      <c r="AT125" s="222">
        <f t="shared" ref="AT125" si="2227">IF(AT124=0,0, AS125)</f>
        <v>0</v>
      </c>
      <c r="AU125" s="222">
        <f t="shared" ref="AU125" si="2228">IF(AU124=0,0, AT125)</f>
        <v>0</v>
      </c>
      <c r="AV125" s="222">
        <f t="shared" ref="AV125" si="2229">IF(AV124=0,0, AU125)</f>
        <v>0</v>
      </c>
      <c r="AW125" s="222">
        <f t="shared" ref="AW125" si="2230">IF(AW124=0,0, AV125)</f>
        <v>0</v>
      </c>
      <c r="AX125" s="222">
        <f t="shared" ref="AX125" si="2231">IF(AX124=0,0, AW125)</f>
        <v>0</v>
      </c>
      <c r="AY125" s="222">
        <f t="shared" ref="AY125" si="2232">IF(AY124=0,0, AX125)</f>
        <v>0</v>
      </c>
      <c r="AZ125" s="222">
        <f t="shared" ref="AZ125" si="2233">IF(AZ124=0,0, AY125)</f>
        <v>0</v>
      </c>
      <c r="BA125" s="222">
        <f t="shared" ref="BA125" si="2234">IF(BA124=0,0, AZ125)</f>
        <v>0</v>
      </c>
      <c r="BB125" s="222">
        <f t="shared" ref="BB125" si="2235">IF(BB124=0,0, BA125)</f>
        <v>0</v>
      </c>
      <c r="BC125" s="222">
        <f t="shared" ref="BC125" si="2236">IF(BC124=0,0, BB125)</f>
        <v>0</v>
      </c>
      <c r="BD125" s="222">
        <f t="shared" ref="BD125" si="2237">IF(BD124=0,0, BC125)</f>
        <v>0</v>
      </c>
      <c r="BE125" s="222">
        <f t="shared" ref="BE125" si="2238">IF(BE124=0,0, BD125)</f>
        <v>0</v>
      </c>
      <c r="BF125" s="222">
        <f t="shared" ref="BF125" si="2239">IF(BF124=0,0, BE125)</f>
        <v>0</v>
      </c>
      <c r="BG125" s="222">
        <f t="shared" ref="BG125" si="2240">IF(BG124=0,0, BF125)</f>
        <v>0</v>
      </c>
      <c r="BH125" s="222">
        <f t="shared" ref="BH125" si="2241">IF(BH124=0,0, BG125)</f>
        <v>0</v>
      </c>
      <c r="BI125" s="222">
        <f t="shared" ref="BI125" si="2242">IF(BI124=0,0, BH125)</f>
        <v>0</v>
      </c>
      <c r="BJ125" s="222">
        <f t="shared" ref="BJ125" si="2243">IF(BJ124=0,0, BI125)</f>
        <v>0</v>
      </c>
      <c r="BK125" s="222">
        <f t="shared" ref="BK125" si="2244">IF(BK124=0,0, BJ125)</f>
        <v>0</v>
      </c>
    </row>
    <row r="126" spans="1:63" ht="7.8" x14ac:dyDescent="0.15">
      <c r="A126" s="218" t="s">
        <v>180</v>
      </c>
      <c r="B126" s="192"/>
      <c r="C126" s="192"/>
      <c r="D126" s="192"/>
      <c r="E126" s="192"/>
      <c r="F126" s="192"/>
      <c r="G126" s="192"/>
      <c r="H126" s="192"/>
      <c r="I126" s="192"/>
      <c r="J126" s="192"/>
      <c r="K126" s="192"/>
      <c r="L126" s="192"/>
      <c r="M126" s="192"/>
      <c r="N126" s="192"/>
      <c r="O126" s="192"/>
      <c r="P126" s="192"/>
      <c r="Q126" s="220" cm="1">
        <f t="array" ref="Q126">Q124*INDEX(LoanCohortRate,$A123)</f>
        <v>0.38541666666666669</v>
      </c>
      <c r="R126" s="221" cm="1">
        <f t="array" ref="R126">R124*INDEX(LoanCohortRate,$A123)</f>
        <v>0.36676669522243527</v>
      </c>
      <c r="S126" s="221" cm="1">
        <f t="array" ref="S126">S124*INDEX(LoanCohortRate,$A123)</f>
        <v>0.34782920338510526</v>
      </c>
      <c r="T126" s="221" cm="1">
        <f t="array" ref="T126">T124*INDEX(LoanCohortRate,$A123)</f>
        <v>0.32859975854861645</v>
      </c>
      <c r="U126" s="221" cm="1">
        <f t="array" ref="U126">U124*INDEX(LoanCohortRate,$A123)</f>
        <v>0.30907385977089846</v>
      </c>
      <c r="V126" s="221" cm="1">
        <f t="array" ref="V126">V124*INDEX(LoanCohortRate,$A123)</f>
        <v>0.28924693672035728</v>
      </c>
      <c r="W126" s="221" cm="1">
        <f t="array" ref="W126">W124*INDEX(LoanCohortRate,$A123)</f>
        <v>0.26911434860612032</v>
      </c>
      <c r="X126" s="221" cm="1">
        <f t="array" ref="X126">X124*INDEX(LoanCohortRate,$A123)</f>
        <v>0.24867138309178882</v>
      </c>
      <c r="Y126" s="221" cm="1">
        <f t="array" ref="Y126">Y124*INDEX(LoanCohortRate,$A123)</f>
        <v>0.22791325519244471</v>
      </c>
      <c r="Z126" s="221" cm="1">
        <f t="array" ref="Z126">Z124*INDEX(LoanCohortRate,$A123)</f>
        <v>0.20683510615465239</v>
      </c>
      <c r="AA126" s="221" cm="1">
        <f t="array" ref="AA126">AA124*INDEX(LoanCohortRate,$A123)</f>
        <v>0.1854320023191941</v>
      </c>
      <c r="AB126" s="221" cm="1">
        <f t="array" ref="AB126">AB124*INDEX(LoanCohortRate,$A123)</f>
        <v>0.1636989339662725</v>
      </c>
      <c r="AC126" s="221" cm="1">
        <f t="array" ref="AC126">AC124*INDEX(LoanCohortRate,$A123)</f>
        <v>0.14163081414291001</v>
      </c>
      <c r="AD126" s="221" cm="1">
        <f t="array" ref="AD126">AD124*INDEX(LoanCohortRate,$A123)</f>
        <v>0.11922247747227069</v>
      </c>
      <c r="AE126" s="221" cm="1">
        <f t="array" ref="AE126">AE124*INDEX(LoanCohortRate,$A123)</f>
        <v>9.6468678944625685E-2</v>
      </c>
      <c r="AF126" s="221" cm="1">
        <f t="array" ref="AF126">AF124*INDEX(LoanCohortRate,$A123)</f>
        <v>7.3364092689679486E-2</v>
      </c>
      <c r="AG126" s="221" cm="1">
        <f t="array" ref="AG126">AG124*INDEX(LoanCohortRate,$A123)</f>
        <v>4.9903310729969536E-2</v>
      </c>
      <c r="AH126" s="221" cm="1">
        <f t="array" ref="AH126">AH124*INDEX(LoanCohortRate,$A123)</f>
        <v>2.6080841715047383E-2</v>
      </c>
      <c r="AI126" s="221" cm="1">
        <f t="array" ref="AI126">AI124*INDEX(LoanCohortRate,$A123)</f>
        <v>1.8911096361451838E-3</v>
      </c>
      <c r="AJ126" s="221" cm="1">
        <f t="array" ref="AJ126">AJ124*INDEX(LoanCohortRate,$A123)</f>
        <v>0</v>
      </c>
      <c r="AK126" s="221" cm="1">
        <f t="array" ref="AK126">AK124*INDEX(LoanCohortRate,$A123)</f>
        <v>0</v>
      </c>
      <c r="AL126" s="221" cm="1">
        <f t="array" ref="AL126">AL124*INDEX(LoanCohortRate,$A123)</f>
        <v>0</v>
      </c>
      <c r="AM126" s="221" cm="1">
        <f t="array" ref="AM126">AM124*INDEX(LoanCohortRate,$A123)</f>
        <v>0</v>
      </c>
      <c r="AN126" s="221" cm="1">
        <f t="array" ref="AN126">AN124*INDEX(LoanCohortRate,$A123)</f>
        <v>0</v>
      </c>
      <c r="AO126" s="221" cm="1">
        <f t="array" ref="AO126">AO124*INDEX(LoanCohortRate,$A123)</f>
        <v>0</v>
      </c>
      <c r="AP126" s="221" cm="1">
        <f t="array" ref="AP126">AP124*INDEX(LoanCohortRate,$A123)</f>
        <v>0</v>
      </c>
      <c r="AQ126" s="221" cm="1">
        <f t="array" ref="AQ126">AQ124*INDEX(LoanCohortRate,$A123)</f>
        <v>0</v>
      </c>
      <c r="AR126" s="221" cm="1">
        <f t="array" ref="AR126">AR124*INDEX(LoanCohortRate,$A123)</f>
        <v>0</v>
      </c>
      <c r="AS126" s="221" cm="1">
        <f t="array" ref="AS126">AS124*INDEX(LoanCohortRate,$A123)</f>
        <v>0</v>
      </c>
      <c r="AT126" s="221" cm="1">
        <f t="array" ref="AT126">AT124*INDEX(LoanCohortRate,$A123)</f>
        <v>0</v>
      </c>
      <c r="AU126" s="221" cm="1">
        <f t="array" ref="AU126">AU124*INDEX(LoanCohortRate,$A123)</f>
        <v>0</v>
      </c>
      <c r="AV126" s="221" cm="1">
        <f t="array" ref="AV126">AV124*INDEX(LoanCohortRate,$A123)</f>
        <v>0</v>
      </c>
      <c r="AW126" s="221" cm="1">
        <f t="array" ref="AW126">AW124*INDEX(LoanCohortRate,$A123)</f>
        <v>0</v>
      </c>
      <c r="AX126" s="221" cm="1">
        <f t="array" ref="AX126">AX124*INDEX(LoanCohortRate,$A123)</f>
        <v>0</v>
      </c>
      <c r="AY126" s="221" cm="1">
        <f t="array" ref="AY126">AY124*INDEX(LoanCohortRate,$A123)</f>
        <v>0</v>
      </c>
      <c r="AZ126" s="221" cm="1">
        <f t="array" ref="AZ126">AZ124*INDEX(LoanCohortRate,$A123)</f>
        <v>0</v>
      </c>
      <c r="BA126" s="221" cm="1">
        <f t="array" ref="BA126">BA124*INDEX(LoanCohortRate,$A123)</f>
        <v>0</v>
      </c>
      <c r="BB126" s="221" cm="1">
        <f t="array" ref="BB126">BB124*INDEX(LoanCohortRate,$A123)</f>
        <v>0</v>
      </c>
      <c r="BC126" s="221" cm="1">
        <f t="array" ref="BC126">BC124*INDEX(LoanCohortRate,$A123)</f>
        <v>0</v>
      </c>
      <c r="BD126" s="221" cm="1">
        <f t="array" ref="BD126">BD124*INDEX(LoanCohortRate,$A123)</f>
        <v>0</v>
      </c>
      <c r="BE126" s="221" cm="1">
        <f t="array" ref="BE126">BE124*INDEX(LoanCohortRate,$A123)</f>
        <v>0</v>
      </c>
      <c r="BF126" s="221" cm="1">
        <f t="array" ref="BF126">BF124*INDEX(LoanCohortRate,$A123)</f>
        <v>0</v>
      </c>
      <c r="BG126" s="221" cm="1">
        <f t="array" ref="BG126">BG124*INDEX(LoanCohortRate,$A123)</f>
        <v>0</v>
      </c>
      <c r="BH126" s="221" cm="1">
        <f t="array" ref="BH126">BH124*INDEX(LoanCohortRate,$A123)</f>
        <v>0</v>
      </c>
      <c r="BI126" s="221" cm="1">
        <f t="array" ref="BI126">BI124*INDEX(LoanCohortRate,$A123)</f>
        <v>0</v>
      </c>
      <c r="BJ126" s="221" cm="1">
        <f t="array" ref="BJ126">BJ124*INDEX(LoanCohortRate,$A123)</f>
        <v>0</v>
      </c>
      <c r="BK126" s="221" cm="1">
        <f t="array" ref="BK126">BK124*INDEX(LoanCohortRate,$A123)</f>
        <v>0</v>
      </c>
    </row>
    <row r="127" spans="1:63" ht="7.8" x14ac:dyDescent="0.15">
      <c r="A127" s="218" t="s">
        <v>177</v>
      </c>
      <c r="B127" s="192"/>
      <c r="C127" s="192"/>
      <c r="D127" s="192"/>
      <c r="E127" s="192"/>
      <c r="F127" s="192"/>
      <c r="G127" s="192"/>
      <c r="H127" s="192"/>
      <c r="I127" s="192"/>
      <c r="J127" s="192"/>
      <c r="K127" s="192"/>
      <c r="L127" s="192"/>
      <c r="M127" s="192"/>
      <c r="N127" s="192"/>
      <c r="O127" s="192"/>
      <c r="P127" s="192"/>
      <c r="Q127" s="219">
        <f>Q125-Q126</f>
        <v>1.2097278774636584</v>
      </c>
      <c r="R127" s="222">
        <f t="shared" ref="R127:BK127" si="2245">R125-R126</f>
        <v>1.2283778489078898</v>
      </c>
      <c r="S127" s="222">
        <f t="shared" si="2245"/>
        <v>1.24731534074522</v>
      </c>
      <c r="T127" s="222">
        <f t="shared" si="2245"/>
        <v>1.2665447855817087</v>
      </c>
      <c r="U127" s="222">
        <f t="shared" si="2245"/>
        <v>1.2860706843594267</v>
      </c>
      <c r="V127" s="222">
        <f t="shared" si="2245"/>
        <v>1.305897607409968</v>
      </c>
      <c r="W127" s="222">
        <f t="shared" si="2245"/>
        <v>1.3260301955242049</v>
      </c>
      <c r="X127" s="222">
        <f t="shared" si="2245"/>
        <v>1.3464731610385363</v>
      </c>
      <c r="Y127" s="222">
        <f t="shared" si="2245"/>
        <v>1.3672312889378804</v>
      </c>
      <c r="Z127" s="222">
        <f t="shared" si="2245"/>
        <v>1.3883094379756726</v>
      </c>
      <c r="AA127" s="222">
        <f t="shared" si="2245"/>
        <v>1.4097125418111309</v>
      </c>
      <c r="AB127" s="222">
        <f t="shared" si="2245"/>
        <v>1.4314456101640527</v>
      </c>
      <c r="AC127" s="222">
        <f t="shared" si="2245"/>
        <v>1.453513729987415</v>
      </c>
      <c r="AD127" s="222">
        <f t="shared" si="2245"/>
        <v>1.4759220666580544</v>
      </c>
      <c r="AE127" s="222">
        <f t="shared" si="2245"/>
        <v>1.4986758651856995</v>
      </c>
      <c r="AF127" s="222">
        <f t="shared" si="2245"/>
        <v>1.5217804514406457</v>
      </c>
      <c r="AG127" s="222">
        <f t="shared" si="2245"/>
        <v>1.5452412334003556</v>
      </c>
      <c r="AH127" s="222">
        <f t="shared" si="2245"/>
        <v>1.5690637024152778</v>
      </c>
      <c r="AI127" s="222">
        <f t="shared" si="2245"/>
        <v>1.59325343449418</v>
      </c>
      <c r="AJ127" s="222">
        <f t="shared" si="2245"/>
        <v>0</v>
      </c>
      <c r="AK127" s="222">
        <f t="shared" si="2245"/>
        <v>0</v>
      </c>
      <c r="AL127" s="222">
        <f t="shared" si="2245"/>
        <v>0</v>
      </c>
      <c r="AM127" s="222">
        <f t="shared" si="2245"/>
        <v>0</v>
      </c>
      <c r="AN127" s="222">
        <f t="shared" si="2245"/>
        <v>0</v>
      </c>
      <c r="AO127" s="222">
        <f t="shared" si="2245"/>
        <v>0</v>
      </c>
      <c r="AP127" s="222">
        <f t="shared" si="2245"/>
        <v>0</v>
      </c>
      <c r="AQ127" s="222">
        <f t="shared" si="2245"/>
        <v>0</v>
      </c>
      <c r="AR127" s="222">
        <f t="shared" si="2245"/>
        <v>0</v>
      </c>
      <c r="AS127" s="222">
        <f t="shared" si="2245"/>
        <v>0</v>
      </c>
      <c r="AT127" s="222">
        <f t="shared" si="2245"/>
        <v>0</v>
      </c>
      <c r="AU127" s="222">
        <f t="shared" si="2245"/>
        <v>0</v>
      </c>
      <c r="AV127" s="222">
        <f t="shared" si="2245"/>
        <v>0</v>
      </c>
      <c r="AW127" s="222">
        <f t="shared" si="2245"/>
        <v>0</v>
      </c>
      <c r="AX127" s="222">
        <f t="shared" si="2245"/>
        <v>0</v>
      </c>
      <c r="AY127" s="222">
        <f t="shared" si="2245"/>
        <v>0</v>
      </c>
      <c r="AZ127" s="222">
        <f t="shared" si="2245"/>
        <v>0</v>
      </c>
      <c r="BA127" s="222">
        <f t="shared" si="2245"/>
        <v>0</v>
      </c>
      <c r="BB127" s="222">
        <f t="shared" si="2245"/>
        <v>0</v>
      </c>
      <c r="BC127" s="222">
        <f t="shared" si="2245"/>
        <v>0</v>
      </c>
      <c r="BD127" s="222">
        <f t="shared" si="2245"/>
        <v>0</v>
      </c>
      <c r="BE127" s="222">
        <f t="shared" si="2245"/>
        <v>0</v>
      </c>
      <c r="BF127" s="222">
        <f t="shared" si="2245"/>
        <v>0</v>
      </c>
      <c r="BG127" s="222">
        <f t="shared" si="2245"/>
        <v>0</v>
      </c>
      <c r="BH127" s="222">
        <f t="shared" si="2245"/>
        <v>0</v>
      </c>
      <c r="BI127" s="222">
        <f t="shared" si="2245"/>
        <v>0</v>
      </c>
      <c r="BJ127" s="222">
        <f t="shared" si="2245"/>
        <v>0</v>
      </c>
      <c r="BK127" s="222">
        <f t="shared" si="2245"/>
        <v>0</v>
      </c>
    </row>
    <row r="128" spans="1:63" ht="7.8" x14ac:dyDescent="0.15">
      <c r="A128" s="205" t="s">
        <v>7</v>
      </c>
      <c r="B128" s="192"/>
      <c r="C128" s="192"/>
      <c r="D128" s="192"/>
      <c r="E128" s="192"/>
      <c r="F128" s="192"/>
      <c r="G128" s="192"/>
      <c r="H128" s="192"/>
      <c r="I128" s="192"/>
      <c r="J128" s="192"/>
      <c r="K128" s="192"/>
      <c r="L128" s="192"/>
      <c r="M128" s="192"/>
      <c r="N128" s="192"/>
      <c r="O128" s="192"/>
      <c r="P128" s="192"/>
      <c r="Q128" s="214" cm="1">
        <f t="array" ref="Q128">INDEX(LoanOriginations,$A123)</f>
        <v>106.69862009238203</v>
      </c>
      <c r="R128" s="199">
        <f t="shared" ref="R128:BK128" si="2246">Q128*(1-MitigateDelinquency*MitigateChargeoff)  *  IF(R123=0,0,IF(R123-102=LoanSaleHeld,0.6,1))</f>
        <v>106.59192147228964</v>
      </c>
      <c r="S128" s="199">
        <f t="shared" si="2246"/>
        <v>106.48532955081735</v>
      </c>
      <c r="T128" s="199">
        <f t="shared" si="2246"/>
        <v>106.37884422126653</v>
      </c>
      <c r="U128" s="199">
        <f t="shared" si="2246"/>
        <v>63.763479226227155</v>
      </c>
      <c r="V128" s="199">
        <f t="shared" si="2246"/>
        <v>63.69971574700093</v>
      </c>
      <c r="W128" s="199">
        <f t="shared" si="2246"/>
        <v>63.636016031253931</v>
      </c>
      <c r="X128" s="199">
        <f t="shared" si="2246"/>
        <v>63.572380015222677</v>
      </c>
      <c r="Y128" s="199">
        <f t="shared" si="2246"/>
        <v>63.508807635207454</v>
      </c>
      <c r="Z128" s="199">
        <f t="shared" si="2246"/>
        <v>63.445298827572245</v>
      </c>
      <c r="AA128" s="199">
        <f t="shared" si="2246"/>
        <v>63.381853528744671</v>
      </c>
      <c r="AB128" s="199">
        <f t="shared" si="2246"/>
        <v>63.318471675215925</v>
      </c>
      <c r="AC128" s="199">
        <f t="shared" si="2246"/>
        <v>63.255153203540708</v>
      </c>
      <c r="AD128" s="199">
        <f t="shared" si="2246"/>
        <v>63.191898050337166</v>
      </c>
      <c r="AE128" s="199">
        <f t="shared" si="2246"/>
        <v>63.128706152286831</v>
      </c>
      <c r="AF128" s="199">
        <f t="shared" si="2246"/>
        <v>63.065577446134547</v>
      </c>
      <c r="AG128" s="199">
        <f t="shared" si="2246"/>
        <v>63.002511868688416</v>
      </c>
      <c r="AH128" s="199">
        <f t="shared" si="2246"/>
        <v>62.939509356819727</v>
      </c>
      <c r="AI128" s="199">
        <f t="shared" si="2246"/>
        <v>62.87656984746291</v>
      </c>
      <c r="AJ128" s="199">
        <f t="shared" si="2246"/>
        <v>0</v>
      </c>
      <c r="AK128" s="199">
        <f t="shared" si="2246"/>
        <v>0</v>
      </c>
      <c r="AL128" s="199">
        <f t="shared" si="2246"/>
        <v>0</v>
      </c>
      <c r="AM128" s="199">
        <f t="shared" si="2246"/>
        <v>0</v>
      </c>
      <c r="AN128" s="199">
        <f t="shared" si="2246"/>
        <v>0</v>
      </c>
      <c r="AO128" s="199">
        <f t="shared" si="2246"/>
        <v>0</v>
      </c>
      <c r="AP128" s="199">
        <f t="shared" si="2246"/>
        <v>0</v>
      </c>
      <c r="AQ128" s="199">
        <f t="shared" si="2246"/>
        <v>0</v>
      </c>
      <c r="AR128" s="199">
        <f t="shared" si="2246"/>
        <v>0</v>
      </c>
      <c r="AS128" s="199">
        <f t="shared" si="2246"/>
        <v>0</v>
      </c>
      <c r="AT128" s="199">
        <f t="shared" si="2246"/>
        <v>0</v>
      </c>
      <c r="AU128" s="199">
        <f t="shared" si="2246"/>
        <v>0</v>
      </c>
      <c r="AV128" s="199">
        <f t="shared" si="2246"/>
        <v>0</v>
      </c>
      <c r="AW128" s="199">
        <f t="shared" si="2246"/>
        <v>0</v>
      </c>
      <c r="AX128" s="199">
        <f t="shared" si="2246"/>
        <v>0</v>
      </c>
      <c r="AY128" s="199">
        <f t="shared" si="2246"/>
        <v>0</v>
      </c>
      <c r="AZ128" s="199">
        <f t="shared" si="2246"/>
        <v>0</v>
      </c>
      <c r="BA128" s="199">
        <f t="shared" si="2246"/>
        <v>0</v>
      </c>
      <c r="BB128" s="199">
        <f t="shared" si="2246"/>
        <v>0</v>
      </c>
      <c r="BC128" s="199">
        <f t="shared" si="2246"/>
        <v>0</v>
      </c>
      <c r="BD128" s="199">
        <f t="shared" si="2246"/>
        <v>0</v>
      </c>
      <c r="BE128" s="199">
        <f t="shared" si="2246"/>
        <v>0</v>
      </c>
      <c r="BF128" s="199">
        <f t="shared" si="2246"/>
        <v>0</v>
      </c>
      <c r="BG128" s="199">
        <f t="shared" si="2246"/>
        <v>0</v>
      </c>
      <c r="BH128" s="199">
        <f t="shared" si="2246"/>
        <v>0</v>
      </c>
      <c r="BI128" s="199">
        <f t="shared" si="2246"/>
        <v>0</v>
      </c>
      <c r="BJ128" s="199">
        <f t="shared" si="2246"/>
        <v>0</v>
      </c>
      <c r="BK128" s="199">
        <f t="shared" si="2246"/>
        <v>0</v>
      </c>
    </row>
    <row r="129" spans="1:63" ht="7.8" x14ac:dyDescent="0.15">
      <c r="A129" s="207" t="s">
        <v>96</v>
      </c>
      <c r="B129" s="192"/>
      <c r="C129" s="192"/>
      <c r="D129" s="192"/>
      <c r="E129" s="192"/>
      <c r="F129" s="192"/>
      <c r="G129" s="192"/>
      <c r="H129" s="192"/>
      <c r="I129" s="192"/>
      <c r="J129" s="192"/>
      <c r="K129" s="192"/>
      <c r="L129" s="192"/>
      <c r="M129" s="192"/>
      <c r="N129" s="192"/>
      <c r="O129" s="192"/>
      <c r="P129" s="192"/>
      <c r="Q129" s="223">
        <f>Q126*Q128</f>
        <v>41.123426493938908</v>
      </c>
      <c r="R129" s="200">
        <f t="shared" ref="R129" si="2247">R126*R128</f>
        <v>39.094366775801006</v>
      </c>
      <c r="S129" s="200">
        <f t="shared" ref="S129" si="2248">S126*S128</f>
        <v>37.038707349861205</v>
      </c>
      <c r="T129" s="200">
        <f t="shared" ref="T129" si="2249">T126*T128</f>
        <v>34.956062525789065</v>
      </c>
      <c r="U129" s="200">
        <f t="shared" ref="U129" si="2250">U126*U128</f>
        <v>19.707624636871529</v>
      </c>
      <c r="V129" s="200">
        <f t="shared" ref="V129" si="2251">V126*V128</f>
        <v>18.424947649777526</v>
      </c>
      <c r="W129" s="200">
        <f t="shared" ref="W129" si="2252">W126*W128</f>
        <v>17.125365002139532</v>
      </c>
      <c r="X129" s="200">
        <f t="shared" ref="X129" si="2253">X126*X128</f>
        <v>15.808631664822219</v>
      </c>
      <c r="Y129" s="200">
        <f t="shared" ref="Y129" si="2254">Y126*Y128</f>
        <v>14.474499081530917</v>
      </c>
      <c r="Z129" s="200">
        <f t="shared" ref="Z129" si="2255">Z126*Z128</f>
        <v>13.122715118014549</v>
      </c>
      <c r="AA129" s="200">
        <f t="shared" ref="AA129" si="2256">AA126*AA128</f>
        <v>11.753024010537002</v>
      </c>
      <c r="AB129" s="200">
        <f t="shared" ref="AB129" si="2257">AB126*AB128</f>
        <v>10.365166313606467</v>
      </c>
      <c r="AC129" s="200">
        <f t="shared" ref="AC129" si="2258">AC126*AC128</f>
        <v>8.958878846951972</v>
      </c>
      <c r="AD129" s="200">
        <f t="shared" ref="AD129" si="2259">AD126*AD128</f>
        <v>7.5338946417363486</v>
      </c>
      <c r="AE129" s="200">
        <f t="shared" ref="AE129" si="2260">AE126*AE128</f>
        <v>6.0899428859945743</v>
      </c>
      <c r="AF129" s="200">
        <f t="shared" ref="AF129" si="2261">AF126*AF128</f>
        <v>4.6267488692863754</v>
      </c>
      <c r="AG129" s="200">
        <f t="shared" ref="AG129" si="2262">AG126*AG128</f>
        <v>3.1440339265517516</v>
      </c>
      <c r="AH129" s="200">
        <f t="shared" ref="AH129" si="2263">AH126*AH128</f>
        <v>1.641515381157959</v>
      </c>
      <c r="AI129" s="200">
        <f t="shared" ref="AI129" si="2264">AI126*AI128</f>
        <v>0.11890648712629281</v>
      </c>
      <c r="AJ129" s="200">
        <f t="shared" ref="AJ129" si="2265">AJ126*AJ128</f>
        <v>0</v>
      </c>
      <c r="AK129" s="200">
        <f t="shared" ref="AK129" si="2266">AK126*AK128</f>
        <v>0</v>
      </c>
      <c r="AL129" s="200">
        <f t="shared" ref="AL129" si="2267">AL126*AL128</f>
        <v>0</v>
      </c>
      <c r="AM129" s="200">
        <f t="shared" ref="AM129" si="2268">AM126*AM128</f>
        <v>0</v>
      </c>
      <c r="AN129" s="200">
        <f t="shared" ref="AN129" si="2269">AN126*AN128</f>
        <v>0</v>
      </c>
      <c r="AO129" s="200">
        <f t="shared" ref="AO129" si="2270">AO126*AO128</f>
        <v>0</v>
      </c>
      <c r="AP129" s="200">
        <f t="shared" ref="AP129" si="2271">AP126*AP128</f>
        <v>0</v>
      </c>
      <c r="AQ129" s="200">
        <f t="shared" ref="AQ129" si="2272">AQ126*AQ128</f>
        <v>0</v>
      </c>
      <c r="AR129" s="200">
        <f t="shared" ref="AR129" si="2273">AR126*AR128</f>
        <v>0</v>
      </c>
      <c r="AS129" s="200">
        <f t="shared" ref="AS129" si="2274">AS126*AS128</f>
        <v>0</v>
      </c>
      <c r="AT129" s="200">
        <f t="shared" ref="AT129" si="2275">AT126*AT128</f>
        <v>0</v>
      </c>
      <c r="AU129" s="200">
        <f t="shared" ref="AU129" si="2276">AU126*AU128</f>
        <v>0</v>
      </c>
      <c r="AV129" s="200">
        <f t="shared" ref="AV129" si="2277">AV126*AV128</f>
        <v>0</v>
      </c>
      <c r="AW129" s="200">
        <f t="shared" ref="AW129" si="2278">AW126*AW128</f>
        <v>0</v>
      </c>
      <c r="AX129" s="200">
        <f t="shared" ref="AX129" si="2279">AX126*AX128</f>
        <v>0</v>
      </c>
      <c r="AY129" s="200">
        <f t="shared" ref="AY129" si="2280">AY126*AY128</f>
        <v>0</v>
      </c>
      <c r="AZ129" s="200">
        <f t="shared" ref="AZ129" si="2281">AZ126*AZ128</f>
        <v>0</v>
      </c>
      <c r="BA129" s="200">
        <f t="shared" ref="BA129" si="2282">BA126*BA128</f>
        <v>0</v>
      </c>
      <c r="BB129" s="200">
        <f t="shared" ref="BB129" si="2283">BB126*BB128</f>
        <v>0</v>
      </c>
      <c r="BC129" s="200">
        <f t="shared" ref="BC129" si="2284">BC126*BC128</f>
        <v>0</v>
      </c>
      <c r="BD129" s="200">
        <f t="shared" ref="BD129" si="2285">BD126*BD128</f>
        <v>0</v>
      </c>
      <c r="BE129" s="200">
        <f t="shared" ref="BE129" si="2286">BE126*BE128</f>
        <v>0</v>
      </c>
      <c r="BF129" s="200">
        <f t="shared" ref="BF129" si="2287">BF126*BF128</f>
        <v>0</v>
      </c>
      <c r="BG129" s="200">
        <f t="shared" ref="BG129" si="2288">BG126*BG128</f>
        <v>0</v>
      </c>
      <c r="BH129" s="200">
        <f t="shared" ref="BH129" si="2289">BH126*BH128</f>
        <v>0</v>
      </c>
      <c r="BI129" s="200">
        <f t="shared" ref="BI129" si="2290">BI126*BI128</f>
        <v>0</v>
      </c>
      <c r="BJ129" s="200">
        <f t="shared" ref="BJ129" si="2291">BJ126*BJ128</f>
        <v>0</v>
      </c>
      <c r="BK129" s="200">
        <f t="shared" ref="BK129" si="2292">BK126*BK128</f>
        <v>0</v>
      </c>
    </row>
    <row r="130" spans="1:63" ht="7.8" x14ac:dyDescent="0.15">
      <c r="A130" s="206" t="s">
        <v>97</v>
      </c>
      <c r="B130" s="192"/>
      <c r="C130" s="192"/>
      <c r="D130" s="192"/>
      <c r="E130" s="192"/>
      <c r="F130" s="192"/>
      <c r="G130" s="192"/>
      <c r="H130" s="192"/>
      <c r="I130" s="192"/>
      <c r="J130" s="192"/>
      <c r="K130" s="192"/>
      <c r="L130" s="192"/>
      <c r="M130" s="192"/>
      <c r="N130" s="192"/>
      <c r="O130" s="192"/>
      <c r="P130" s="192"/>
      <c r="Q130" s="223">
        <f>Q127*Q128</f>
        <v>129.07629521265858</v>
      </c>
      <c r="R130" s="200">
        <f>R127*R128</f>
        <v>130.93515520908986</v>
      </c>
      <c r="S130" s="200">
        <f t="shared" ref="S130:BK130" si="2293">S127*S128</f>
        <v>132.82078511304479</v>
      </c>
      <c r="T130" s="200">
        <f t="shared" si="2293"/>
        <v>134.73357044465402</v>
      </c>
      <c r="U130" s="200">
        <f t="shared" si="2293"/>
        <v>82.004341365612049</v>
      </c>
      <c r="V130" s="200">
        <f t="shared" si="2293"/>
        <v>83.185306386703573</v>
      </c>
      <c r="W130" s="200">
        <f t="shared" si="2293"/>
        <v>84.383278780305091</v>
      </c>
      <c r="X130" s="200">
        <f t="shared" si="2293"/>
        <v>85.598503473839955</v>
      </c>
      <c r="Y130" s="200">
        <f t="shared" si="2293"/>
        <v>86.83122892199259</v>
      </c>
      <c r="Z130" s="200">
        <f t="shared" si="2293"/>
        <v>88.08170715750542</v>
      </c>
      <c r="AA130" s="200">
        <f t="shared" si="2293"/>
        <v>89.350193842707455</v>
      </c>
      <c r="AB130" s="200">
        <f t="shared" si="2293"/>
        <v>90.636948321784743</v>
      </c>
      <c r="AC130" s="200">
        <f t="shared" si="2293"/>
        <v>91.942233673803841</v>
      </c>
      <c r="AD130" s="200">
        <f t="shared" si="2293"/>
        <v>93.266316766498704</v>
      </c>
      <c r="AE130" s="200">
        <f t="shared" si="2293"/>
        <v>94.609468310832256</v>
      </c>
      <c r="AF130" s="200">
        <f t="shared" si="2293"/>
        <v>95.971962916343628</v>
      </c>
      <c r="AG130" s="200">
        <f t="shared" si="2293"/>
        <v>97.354079147292623</v>
      </c>
      <c r="AH130" s="200">
        <f t="shared" si="2293"/>
        <v>98.756099579612581</v>
      </c>
      <c r="AI130" s="200">
        <f t="shared" si="2293"/>
        <v>100.17831085868349</v>
      </c>
      <c r="AJ130" s="200">
        <f t="shared" si="2293"/>
        <v>0</v>
      </c>
      <c r="AK130" s="200">
        <f t="shared" si="2293"/>
        <v>0</v>
      </c>
      <c r="AL130" s="200">
        <f t="shared" si="2293"/>
        <v>0</v>
      </c>
      <c r="AM130" s="200">
        <f t="shared" si="2293"/>
        <v>0</v>
      </c>
      <c r="AN130" s="200">
        <f t="shared" si="2293"/>
        <v>0</v>
      </c>
      <c r="AO130" s="200">
        <f t="shared" si="2293"/>
        <v>0</v>
      </c>
      <c r="AP130" s="200">
        <f t="shared" si="2293"/>
        <v>0</v>
      </c>
      <c r="AQ130" s="200">
        <f t="shared" si="2293"/>
        <v>0</v>
      </c>
      <c r="AR130" s="200">
        <f t="shared" si="2293"/>
        <v>0</v>
      </c>
      <c r="AS130" s="200">
        <f t="shared" si="2293"/>
        <v>0</v>
      </c>
      <c r="AT130" s="200">
        <f t="shared" si="2293"/>
        <v>0</v>
      </c>
      <c r="AU130" s="200">
        <f t="shared" si="2293"/>
        <v>0</v>
      </c>
      <c r="AV130" s="200">
        <f t="shared" si="2293"/>
        <v>0</v>
      </c>
      <c r="AW130" s="200">
        <f t="shared" si="2293"/>
        <v>0</v>
      </c>
      <c r="AX130" s="200">
        <f t="shared" si="2293"/>
        <v>0</v>
      </c>
      <c r="AY130" s="200">
        <f t="shared" si="2293"/>
        <v>0</v>
      </c>
      <c r="AZ130" s="200">
        <f t="shared" si="2293"/>
        <v>0</v>
      </c>
      <c r="BA130" s="200">
        <f t="shared" si="2293"/>
        <v>0</v>
      </c>
      <c r="BB130" s="200">
        <f t="shared" si="2293"/>
        <v>0</v>
      </c>
      <c r="BC130" s="200">
        <f t="shared" si="2293"/>
        <v>0</v>
      </c>
      <c r="BD130" s="200">
        <f t="shared" si="2293"/>
        <v>0</v>
      </c>
      <c r="BE130" s="200">
        <f t="shared" si="2293"/>
        <v>0</v>
      </c>
      <c r="BF130" s="200">
        <f t="shared" si="2293"/>
        <v>0</v>
      </c>
      <c r="BG130" s="200">
        <f t="shared" si="2293"/>
        <v>0</v>
      </c>
      <c r="BH130" s="200">
        <f t="shared" si="2293"/>
        <v>0</v>
      </c>
      <c r="BI130" s="200">
        <f t="shared" si="2293"/>
        <v>0</v>
      </c>
      <c r="BJ130" s="200">
        <f t="shared" si="2293"/>
        <v>0</v>
      </c>
      <c r="BK130" s="200">
        <f t="shared" si="2293"/>
        <v>0</v>
      </c>
    </row>
    <row r="131" spans="1:63" ht="7.8" x14ac:dyDescent="0.15">
      <c r="A131" s="208" t="s">
        <v>203</v>
      </c>
      <c r="B131" s="192"/>
      <c r="C131" s="192"/>
      <c r="D131" s="192"/>
      <c r="E131" s="192"/>
      <c r="F131" s="192"/>
      <c r="G131" s="192"/>
      <c r="H131" s="192"/>
      <c r="I131" s="192"/>
      <c r="J131" s="192"/>
      <c r="K131" s="192"/>
      <c r="L131" s="192"/>
      <c r="M131" s="192"/>
      <c r="N131" s="192"/>
      <c r="O131" s="192"/>
      <c r="P131" s="192"/>
      <c r="Q131" s="224">
        <f>IF(Q123-101&lt;&gt;LoanSaleHeld,0,SUM($D130:Q130)*LoanSalePercent)</f>
        <v>0</v>
      </c>
      <c r="R131" s="225">
        <f>IF(R123-101&lt;&gt;LoanSaleHeld,0,SUM($D130:R130)*LoanSalePercent)</f>
        <v>0</v>
      </c>
      <c r="S131" s="225">
        <f>IF(S123-101&lt;&gt;LoanSaleHeld,0,SUM($D130:S130)*LoanSalePercent)</f>
        <v>0</v>
      </c>
      <c r="T131" s="225">
        <f>IF(T123-101&lt;&gt;LoanSaleHeld,0,SUM($D130:T130)*LoanSalePercent)</f>
        <v>211.02632239177893</v>
      </c>
      <c r="U131" s="225">
        <f>IF(U123-101&lt;&gt;LoanSaleHeld,0,SUM($D130:U130)*LoanSalePercent)</f>
        <v>0</v>
      </c>
      <c r="V131" s="225">
        <f>IF(V123-101&lt;&gt;LoanSaleHeld,0,SUM($D130:V130)*LoanSalePercent)</f>
        <v>0</v>
      </c>
      <c r="W131" s="225">
        <f>IF(W123-101&lt;&gt;LoanSaleHeld,0,SUM($D130:W130)*LoanSalePercent)</f>
        <v>0</v>
      </c>
      <c r="X131" s="225">
        <f>IF(X123-101&lt;&gt;LoanSaleHeld,0,SUM($D130:X130)*LoanSalePercent)</f>
        <v>0</v>
      </c>
      <c r="Y131" s="225">
        <f>IF(Y123-101&lt;&gt;LoanSaleHeld,0,SUM($D130:Y130)*LoanSalePercent)</f>
        <v>0</v>
      </c>
      <c r="Z131" s="225">
        <f>IF(Z123-101&lt;&gt;LoanSaleHeld,0,SUM($D130:Z130)*LoanSalePercent)</f>
        <v>0</v>
      </c>
      <c r="AA131" s="225">
        <f>IF(AA123-101&lt;&gt;LoanSaleHeld,0,SUM($D130:AA130)*LoanSalePercent)</f>
        <v>0</v>
      </c>
      <c r="AB131" s="225">
        <f>IF(AB123-101&lt;&gt;LoanSaleHeld,0,SUM($D130:AB130)*LoanSalePercent)</f>
        <v>0</v>
      </c>
      <c r="AC131" s="225">
        <f>IF(AC123-101&lt;&gt;LoanSaleHeld,0,SUM($D130:AC130)*LoanSalePercent)</f>
        <v>0</v>
      </c>
      <c r="AD131" s="225">
        <f>IF(AD123-101&lt;&gt;LoanSaleHeld,0,SUM($D130:AD130)*LoanSalePercent)</f>
        <v>0</v>
      </c>
      <c r="AE131" s="225">
        <f>IF(AE123-101&lt;&gt;LoanSaleHeld,0,SUM($D130:AE130)*LoanSalePercent)</f>
        <v>0</v>
      </c>
      <c r="AF131" s="225">
        <f>IF(AF123-101&lt;&gt;LoanSaleHeld,0,SUM($D130:AF130)*LoanSalePercent)</f>
        <v>0</v>
      </c>
      <c r="AG131" s="225">
        <f>IF(AG123-101&lt;&gt;LoanSaleHeld,0,SUM($D130:AG130)*LoanSalePercent)</f>
        <v>0</v>
      </c>
      <c r="AH131" s="225">
        <f>IF(AH123-101&lt;&gt;LoanSaleHeld,0,SUM($D130:AH130)*LoanSalePercent)</f>
        <v>0</v>
      </c>
      <c r="AI131" s="225">
        <f>IF(AI123-101&lt;&gt;LoanSaleHeld,0,SUM($D130:AI130)*LoanSalePercent)</f>
        <v>0</v>
      </c>
      <c r="AJ131" s="225">
        <f>IF(AJ123-101&lt;&gt;LoanSaleHeld,0,SUM($D130:AJ130)*LoanSalePercent)</f>
        <v>0</v>
      </c>
      <c r="AK131" s="225">
        <f>IF(AK123-101&lt;&gt;LoanSaleHeld,0,SUM($D130:AK130)*LoanSalePercent)</f>
        <v>0</v>
      </c>
      <c r="AL131" s="225">
        <f>IF(AL123-101&lt;&gt;LoanSaleHeld,0,SUM($D130:AL130)*LoanSalePercent)</f>
        <v>0</v>
      </c>
      <c r="AM131" s="225">
        <f>IF(AM123-101&lt;&gt;LoanSaleHeld,0,SUM($D130:AM130)*LoanSalePercent)</f>
        <v>0</v>
      </c>
      <c r="AN131" s="225">
        <f>IF(AN123-101&lt;&gt;LoanSaleHeld,0,SUM($D130:AN130)*LoanSalePercent)</f>
        <v>0</v>
      </c>
      <c r="AO131" s="225">
        <f>IF(AO123-101&lt;&gt;LoanSaleHeld,0,SUM($D130:AO130)*LoanSalePercent)</f>
        <v>0</v>
      </c>
      <c r="AP131" s="225">
        <f>IF(AP123-101&lt;&gt;LoanSaleHeld,0,SUM($D130:AP130)*LoanSalePercent)</f>
        <v>0</v>
      </c>
      <c r="AQ131" s="225">
        <f>IF(AQ123-101&lt;&gt;LoanSaleHeld,0,SUM($D130:AQ130)*LoanSalePercent)</f>
        <v>0</v>
      </c>
      <c r="AR131" s="225">
        <f>IF(AR123-101&lt;&gt;LoanSaleHeld,0,SUM($D130:AR130)*LoanSalePercent)</f>
        <v>0</v>
      </c>
      <c r="AS131" s="225">
        <f>IF(AS123-101&lt;&gt;LoanSaleHeld,0,SUM($D130:AS130)*LoanSalePercent)</f>
        <v>0</v>
      </c>
      <c r="AT131" s="225">
        <f>IF(AT123-101&lt;&gt;LoanSaleHeld,0,SUM($D130:AT130)*LoanSalePercent)</f>
        <v>0</v>
      </c>
      <c r="AU131" s="225">
        <f>IF(AU123-101&lt;&gt;LoanSaleHeld,0,SUM($D130:AU130)*LoanSalePercent)</f>
        <v>0</v>
      </c>
      <c r="AV131" s="225">
        <f>IF(AV123-101&lt;&gt;LoanSaleHeld,0,SUM($D130:AV130)*LoanSalePercent)</f>
        <v>0</v>
      </c>
      <c r="AW131" s="225">
        <f>IF(AW123-101&lt;&gt;LoanSaleHeld,0,SUM($D130:AW130)*LoanSalePercent)</f>
        <v>0</v>
      </c>
      <c r="AX131" s="225">
        <f>IF(AX123-101&lt;&gt;LoanSaleHeld,0,SUM($D130:AX130)*LoanSalePercent)</f>
        <v>0</v>
      </c>
      <c r="AY131" s="225">
        <f>IF(AY123-101&lt;&gt;LoanSaleHeld,0,SUM($D130:AY130)*LoanSalePercent)</f>
        <v>0</v>
      </c>
      <c r="AZ131" s="225">
        <f>IF(AZ123-101&lt;&gt;LoanSaleHeld,0,SUM($D130:AZ130)*LoanSalePercent)</f>
        <v>0</v>
      </c>
      <c r="BA131" s="225">
        <f>IF(BA123-101&lt;&gt;LoanSaleHeld,0,SUM($D130:BA130)*LoanSalePercent)</f>
        <v>0</v>
      </c>
      <c r="BB131" s="225">
        <f>IF(BB123-101&lt;&gt;LoanSaleHeld,0,SUM($D130:BB130)*LoanSalePercent)</f>
        <v>0</v>
      </c>
      <c r="BC131" s="225">
        <f>IF(BC123-101&lt;&gt;LoanSaleHeld,0,SUM($D130:BC130)*LoanSalePercent)</f>
        <v>0</v>
      </c>
      <c r="BD131" s="225">
        <f>IF(BD123-101&lt;&gt;LoanSaleHeld,0,SUM($D130:BD130)*LoanSalePercent)</f>
        <v>0</v>
      </c>
      <c r="BE131" s="225">
        <f>IF(BE123-101&lt;&gt;LoanSaleHeld,0,SUM($D130:BE130)*LoanSalePercent)</f>
        <v>0</v>
      </c>
      <c r="BF131" s="225">
        <f>IF(BF123-101&lt;&gt;LoanSaleHeld,0,SUM($D130:BF130)*LoanSalePercent)</f>
        <v>0</v>
      </c>
      <c r="BG131" s="225">
        <f>IF(BG123-101&lt;&gt;LoanSaleHeld,0,SUM($D130:BG130)*LoanSalePercent)</f>
        <v>0</v>
      </c>
      <c r="BH131" s="225">
        <f>IF(BH123-101&lt;&gt;LoanSaleHeld,0,SUM($D130:BH130)*LoanSalePercent)</f>
        <v>0</v>
      </c>
      <c r="BI131" s="225">
        <f>IF(BI123-101&lt;&gt;LoanSaleHeld,0,SUM($D130:BI130)*LoanSalePercent)</f>
        <v>0</v>
      </c>
      <c r="BJ131" s="225">
        <f>IF(BJ123-101&lt;&gt;LoanSaleHeld,0,SUM($D130:BJ130)*LoanSalePercent)</f>
        <v>0</v>
      </c>
      <c r="BK131" s="225">
        <f>IF(BK123-101&lt;&gt;LoanSaleHeld,0,SUM($D130:BK130)*LoanSalePercent)</f>
        <v>0</v>
      </c>
    </row>
    <row r="132" spans="1:63" ht="7.8" x14ac:dyDescent="0.15">
      <c r="A132" s="204">
        <f t="shared" ref="A132" si="2294">A123+1</f>
        <v>15</v>
      </c>
      <c r="B132" s="192"/>
      <c r="C132" s="192"/>
      <c r="D132" s="192"/>
      <c r="E132" s="192"/>
      <c r="F132" s="192"/>
      <c r="G132" s="192"/>
      <c r="H132" s="192"/>
      <c r="I132" s="192"/>
      <c r="J132" s="192"/>
      <c r="K132" s="192"/>
      <c r="L132" s="192"/>
      <c r="M132" s="192"/>
      <c r="N132" s="192"/>
      <c r="O132" s="192"/>
      <c r="P132" s="192"/>
      <c r="Q132" s="192"/>
      <c r="R132" s="195">
        <v>101</v>
      </c>
      <c r="S132" s="196">
        <f t="shared" ref="S132" si="2295">IF(S133=0,0,R132+1)</f>
        <v>102</v>
      </c>
      <c r="T132" s="196">
        <f t="shared" ref="T132" si="2296">IF(T133=0,0,S132+1)</f>
        <v>103</v>
      </c>
      <c r="U132" s="196">
        <f t="shared" ref="U132" si="2297">IF(U133=0,0,T132+1)</f>
        <v>104</v>
      </c>
      <c r="V132" s="196">
        <f t="shared" ref="V132" si="2298">IF(V133=0,0,U132+1)</f>
        <v>105</v>
      </c>
      <c r="W132" s="196">
        <f t="shared" ref="W132" si="2299">IF(W133=0,0,V132+1)</f>
        <v>106</v>
      </c>
      <c r="X132" s="196">
        <f t="shared" ref="X132" si="2300">IF(X133=0,0,W132+1)</f>
        <v>107</v>
      </c>
      <c r="Y132" s="196">
        <f t="shared" ref="Y132" si="2301">IF(Y133=0,0,X132+1)</f>
        <v>108</v>
      </c>
      <c r="Z132" s="196">
        <f t="shared" ref="Z132" si="2302">IF(Z133=0,0,Y132+1)</f>
        <v>109</v>
      </c>
      <c r="AA132" s="196">
        <f t="shared" ref="AA132" si="2303">IF(AA133=0,0,Z132+1)</f>
        <v>110</v>
      </c>
      <c r="AB132" s="196">
        <f t="shared" ref="AB132" si="2304">IF(AB133=0,0,AA132+1)</f>
        <v>111</v>
      </c>
      <c r="AC132" s="196">
        <f t="shared" ref="AC132" si="2305">IF(AC133=0,0,AB132+1)</f>
        <v>112</v>
      </c>
      <c r="AD132" s="196">
        <f t="shared" ref="AD132" si="2306">IF(AD133=0,0,AC132+1)</f>
        <v>113</v>
      </c>
      <c r="AE132" s="196">
        <f t="shared" ref="AE132" si="2307">IF(AE133=0,0,AD132+1)</f>
        <v>114</v>
      </c>
      <c r="AF132" s="196">
        <f t="shared" ref="AF132" si="2308">IF(AF133=0,0,AE132+1)</f>
        <v>115</v>
      </c>
      <c r="AG132" s="196">
        <f t="shared" ref="AG132" si="2309">IF(AG133=0,0,AF132+1)</f>
        <v>116</v>
      </c>
      <c r="AH132" s="196">
        <f t="shared" ref="AH132" si="2310">IF(AH133=0,0,AG132+1)</f>
        <v>117</v>
      </c>
      <c r="AI132" s="196">
        <f t="shared" ref="AI132" si="2311">IF(AI133=0,0,AH132+1)</f>
        <v>118</v>
      </c>
      <c r="AJ132" s="196">
        <f t="shared" ref="AJ132" si="2312">IF(AJ133=0,0,AI132+1)</f>
        <v>119</v>
      </c>
      <c r="AK132" s="196">
        <f t="shared" ref="AK132" si="2313">IF(AK133=0,0,AJ132+1)</f>
        <v>0</v>
      </c>
      <c r="AL132" s="196">
        <f t="shared" ref="AL132" si="2314">IF(AL133=0,0,AK132+1)</f>
        <v>0</v>
      </c>
      <c r="AM132" s="196">
        <f t="shared" ref="AM132" si="2315">IF(AM133=0,0,AL132+1)</f>
        <v>0</v>
      </c>
      <c r="AN132" s="196">
        <f t="shared" ref="AN132" si="2316">IF(AN133=0,0,AM132+1)</f>
        <v>0</v>
      </c>
      <c r="AO132" s="196">
        <f t="shared" ref="AO132" si="2317">IF(AO133=0,0,AN132+1)</f>
        <v>0</v>
      </c>
      <c r="AP132" s="196">
        <f t="shared" ref="AP132" si="2318">IF(AP133=0,0,AO132+1)</f>
        <v>0</v>
      </c>
      <c r="AQ132" s="196">
        <f t="shared" ref="AQ132" si="2319">IF(AQ133=0,0,AP132+1)</f>
        <v>0</v>
      </c>
      <c r="AR132" s="196">
        <f t="shared" ref="AR132" si="2320">IF(AR133=0,0,AQ132+1)</f>
        <v>0</v>
      </c>
      <c r="AS132" s="196">
        <f t="shared" ref="AS132" si="2321">IF(AS133=0,0,AR132+1)</f>
        <v>0</v>
      </c>
      <c r="AT132" s="196">
        <f t="shared" ref="AT132" si="2322">IF(AT133=0,0,AS132+1)</f>
        <v>0</v>
      </c>
      <c r="AU132" s="196">
        <f t="shared" ref="AU132" si="2323">IF(AU133=0,0,AT132+1)</f>
        <v>0</v>
      </c>
      <c r="AV132" s="196">
        <f t="shared" ref="AV132" si="2324">IF(AV133=0,0,AU132+1)</f>
        <v>0</v>
      </c>
      <c r="AW132" s="196">
        <f t="shared" ref="AW132" si="2325">IF(AW133=0,0,AV132+1)</f>
        <v>0</v>
      </c>
      <c r="AX132" s="196">
        <f t="shared" ref="AX132" si="2326">IF(AX133=0,0,AW132+1)</f>
        <v>0</v>
      </c>
      <c r="AY132" s="196">
        <f t="shared" ref="AY132" si="2327">IF(AY133=0,0,AX132+1)</f>
        <v>0</v>
      </c>
      <c r="AZ132" s="196">
        <f t="shared" ref="AZ132" si="2328">IF(AZ133=0,0,AY132+1)</f>
        <v>0</v>
      </c>
      <c r="BA132" s="196">
        <f t="shared" ref="BA132" si="2329">IF(BA133=0,0,AZ132+1)</f>
        <v>0</v>
      </c>
      <c r="BB132" s="196">
        <f t="shared" ref="BB132" si="2330">IF(BB133=0,0,BA132+1)</f>
        <v>0</v>
      </c>
      <c r="BC132" s="196">
        <f t="shared" ref="BC132" si="2331">IF(BC133=0,0,BB132+1)</f>
        <v>0</v>
      </c>
      <c r="BD132" s="196">
        <f t="shared" ref="BD132" si="2332">IF(BD133=0,0,BC132+1)</f>
        <v>0</v>
      </c>
      <c r="BE132" s="196">
        <f t="shared" ref="BE132" si="2333">IF(BE133=0,0,BD132+1)</f>
        <v>0</v>
      </c>
      <c r="BF132" s="196">
        <f t="shared" ref="BF132" si="2334">IF(BF133=0,0,BE132+1)</f>
        <v>0</v>
      </c>
      <c r="BG132" s="196">
        <f t="shared" ref="BG132" si="2335">IF(BG133=0,0,BF132+1)</f>
        <v>0</v>
      </c>
      <c r="BH132" s="196">
        <f t="shared" ref="BH132" si="2336">IF(BH133=0,0,BG132+1)</f>
        <v>0</v>
      </c>
      <c r="BI132" s="196">
        <f t="shared" ref="BI132" si="2337">IF(BI133=0,0,BH132+1)</f>
        <v>0</v>
      </c>
      <c r="BJ132" s="196">
        <f t="shared" ref="BJ132" si="2338">IF(BJ133=0,0,BI132+1)</f>
        <v>0</v>
      </c>
      <c r="BK132" s="196">
        <f t="shared" ref="BK132" si="2339">IF(BK133=0,0,BJ132+1)</f>
        <v>0</v>
      </c>
    </row>
    <row r="133" spans="1:63" ht="7.8" x14ac:dyDescent="0.15">
      <c r="A133" s="216" t="s">
        <v>178</v>
      </c>
      <c r="B133" s="192"/>
      <c r="C133" s="192"/>
      <c r="D133" s="192"/>
      <c r="E133" s="192"/>
      <c r="F133" s="192"/>
      <c r="G133" s="192"/>
      <c r="H133" s="192"/>
      <c r="I133" s="192"/>
      <c r="J133" s="192"/>
      <c r="K133" s="192"/>
      <c r="L133" s="192"/>
      <c r="M133" s="192"/>
      <c r="N133" s="192"/>
      <c r="O133" s="192"/>
      <c r="P133" s="192"/>
      <c r="Q133" s="192"/>
      <c r="R133" s="217">
        <f>LoanSize</f>
        <v>25</v>
      </c>
      <c r="S133" s="215">
        <f>IF(R133-R136&lt;=0.1,0,R133-R136)</f>
        <v>23.79027212253634</v>
      </c>
      <c r="T133" s="215">
        <f t="shared" ref="T133:BK133" si="2340">IF(S133-S136&lt;=0.1,0,S133-S136)</f>
        <v>22.56189427362845</v>
      </c>
      <c r="U133" s="215">
        <f t="shared" si="2340"/>
        <v>21.314578932883229</v>
      </c>
      <c r="V133" s="215">
        <f t="shared" si="2340"/>
        <v>20.048034147301522</v>
      </c>
      <c r="W133" s="215">
        <f t="shared" si="2340"/>
        <v>18.761963462942095</v>
      </c>
      <c r="X133" s="215">
        <f t="shared" si="2340"/>
        <v>17.456065855532128</v>
      </c>
      <c r="Y133" s="215">
        <f t="shared" si="2340"/>
        <v>16.130035660007923</v>
      </c>
      <c r="Z133" s="215">
        <f t="shared" si="2340"/>
        <v>14.783562498969387</v>
      </c>
      <c r="AA133" s="215">
        <f t="shared" si="2340"/>
        <v>13.416331210031506</v>
      </c>
      <c r="AB133" s="215">
        <f t="shared" si="2340"/>
        <v>12.028021772055833</v>
      </c>
      <c r="AC133" s="215">
        <f t="shared" si="2340"/>
        <v>10.618309230244702</v>
      </c>
      <c r="AD133" s="215">
        <f t="shared" si="2340"/>
        <v>9.1868636200806488</v>
      </c>
      <c r="AE133" s="215">
        <f t="shared" si="2340"/>
        <v>7.7333498900932334</v>
      </c>
      <c r="AF133" s="215">
        <f t="shared" si="2340"/>
        <v>6.2574278234351794</v>
      </c>
      <c r="AG133" s="215">
        <f t="shared" si="2340"/>
        <v>4.7587519582494799</v>
      </c>
      <c r="AH133" s="215">
        <f t="shared" si="2340"/>
        <v>3.2369715068088345</v>
      </c>
      <c r="AI133" s="215">
        <f t="shared" si="2340"/>
        <v>1.6917302734084789</v>
      </c>
      <c r="AJ133" s="215">
        <f t="shared" si="2340"/>
        <v>0.12266657099320111</v>
      </c>
      <c r="AK133" s="215">
        <f t="shared" si="2340"/>
        <v>0</v>
      </c>
      <c r="AL133" s="215">
        <f t="shared" si="2340"/>
        <v>0</v>
      </c>
      <c r="AM133" s="215">
        <f t="shared" si="2340"/>
        <v>0</v>
      </c>
      <c r="AN133" s="215">
        <f t="shared" si="2340"/>
        <v>0</v>
      </c>
      <c r="AO133" s="215">
        <f t="shared" si="2340"/>
        <v>0</v>
      </c>
      <c r="AP133" s="215">
        <f t="shared" si="2340"/>
        <v>0</v>
      </c>
      <c r="AQ133" s="215">
        <f t="shared" si="2340"/>
        <v>0</v>
      </c>
      <c r="AR133" s="215">
        <f t="shared" si="2340"/>
        <v>0</v>
      </c>
      <c r="AS133" s="215">
        <f t="shared" si="2340"/>
        <v>0</v>
      </c>
      <c r="AT133" s="215">
        <f t="shared" si="2340"/>
        <v>0</v>
      </c>
      <c r="AU133" s="215">
        <f t="shared" si="2340"/>
        <v>0</v>
      </c>
      <c r="AV133" s="215">
        <f t="shared" si="2340"/>
        <v>0</v>
      </c>
      <c r="AW133" s="215">
        <f t="shared" si="2340"/>
        <v>0</v>
      </c>
      <c r="AX133" s="215">
        <f t="shared" si="2340"/>
        <v>0</v>
      </c>
      <c r="AY133" s="215">
        <f t="shared" si="2340"/>
        <v>0</v>
      </c>
      <c r="AZ133" s="215">
        <f t="shared" si="2340"/>
        <v>0</v>
      </c>
      <c r="BA133" s="215">
        <f t="shared" si="2340"/>
        <v>0</v>
      </c>
      <c r="BB133" s="215">
        <f t="shared" si="2340"/>
        <v>0</v>
      </c>
      <c r="BC133" s="215">
        <f t="shared" si="2340"/>
        <v>0</v>
      </c>
      <c r="BD133" s="215">
        <f t="shared" si="2340"/>
        <v>0</v>
      </c>
      <c r="BE133" s="215">
        <f t="shared" si="2340"/>
        <v>0</v>
      </c>
      <c r="BF133" s="215">
        <f t="shared" si="2340"/>
        <v>0</v>
      </c>
      <c r="BG133" s="215">
        <f t="shared" si="2340"/>
        <v>0</v>
      </c>
      <c r="BH133" s="215">
        <f t="shared" si="2340"/>
        <v>0</v>
      </c>
      <c r="BI133" s="215">
        <f t="shared" si="2340"/>
        <v>0</v>
      </c>
      <c r="BJ133" s="215">
        <f t="shared" si="2340"/>
        <v>0</v>
      </c>
      <c r="BK133" s="215">
        <f t="shared" si="2340"/>
        <v>0</v>
      </c>
    </row>
    <row r="134" spans="1:63" ht="7.8" x14ac:dyDescent="0.15">
      <c r="A134" s="218" t="s">
        <v>179</v>
      </c>
      <c r="B134" s="192"/>
      <c r="C134" s="192"/>
      <c r="D134" s="192"/>
      <c r="E134" s="192"/>
      <c r="F134" s="192"/>
      <c r="G134" s="192"/>
      <c r="H134" s="192"/>
      <c r="I134" s="192"/>
      <c r="J134" s="192"/>
      <c r="K134" s="192"/>
      <c r="L134" s="192"/>
      <c r="M134" s="192"/>
      <c r="N134" s="192"/>
      <c r="O134" s="192"/>
      <c r="P134" s="192"/>
      <c r="Q134" s="192"/>
      <c r="R134" s="219">
        <f>IF(R133=0,0,PMT(INDEX(LoanCohortRate,1),LoanTerm, -LoanSize))</f>
        <v>1.5951445441303251</v>
      </c>
      <c r="S134" s="222">
        <f t="shared" ref="S134" si="2341">IF(S133=0,0, R134)</f>
        <v>1.5951445441303251</v>
      </c>
      <c r="T134" s="222">
        <f t="shared" ref="T134" si="2342">IF(T133=0,0, S134)</f>
        <v>1.5951445441303251</v>
      </c>
      <c r="U134" s="222">
        <f t="shared" ref="U134" si="2343">IF(U133=0,0, T134)</f>
        <v>1.5951445441303251</v>
      </c>
      <c r="V134" s="222">
        <f t="shared" ref="V134" si="2344">IF(V133=0,0, U134)</f>
        <v>1.5951445441303251</v>
      </c>
      <c r="W134" s="222">
        <f t="shared" ref="W134" si="2345">IF(W133=0,0, V134)</f>
        <v>1.5951445441303251</v>
      </c>
      <c r="X134" s="222">
        <f t="shared" ref="X134" si="2346">IF(X133=0,0, W134)</f>
        <v>1.5951445441303251</v>
      </c>
      <c r="Y134" s="222">
        <f t="shared" ref="Y134" si="2347">IF(Y133=0,0, X134)</f>
        <v>1.5951445441303251</v>
      </c>
      <c r="Z134" s="222">
        <f t="shared" ref="Z134" si="2348">IF(Z133=0,0, Y134)</f>
        <v>1.5951445441303251</v>
      </c>
      <c r="AA134" s="222">
        <f t="shared" ref="AA134" si="2349">IF(AA133=0,0, Z134)</f>
        <v>1.5951445441303251</v>
      </c>
      <c r="AB134" s="222">
        <f t="shared" ref="AB134" si="2350">IF(AB133=0,0, AA134)</f>
        <v>1.5951445441303251</v>
      </c>
      <c r="AC134" s="222">
        <f t="shared" ref="AC134" si="2351">IF(AC133=0,0, AB134)</f>
        <v>1.5951445441303251</v>
      </c>
      <c r="AD134" s="222">
        <f t="shared" ref="AD134" si="2352">IF(AD133=0,0, AC134)</f>
        <v>1.5951445441303251</v>
      </c>
      <c r="AE134" s="222">
        <f t="shared" ref="AE134" si="2353">IF(AE133=0,0, AD134)</f>
        <v>1.5951445441303251</v>
      </c>
      <c r="AF134" s="222">
        <f t="shared" ref="AF134" si="2354">IF(AF133=0,0, AE134)</f>
        <v>1.5951445441303251</v>
      </c>
      <c r="AG134" s="222">
        <f t="shared" ref="AG134" si="2355">IF(AG133=0,0, AF134)</f>
        <v>1.5951445441303251</v>
      </c>
      <c r="AH134" s="222">
        <f t="shared" ref="AH134" si="2356">IF(AH133=0,0, AG134)</f>
        <v>1.5951445441303251</v>
      </c>
      <c r="AI134" s="222">
        <f t="shared" ref="AI134" si="2357">IF(AI133=0,0, AH134)</f>
        <v>1.5951445441303251</v>
      </c>
      <c r="AJ134" s="222">
        <f t="shared" ref="AJ134" si="2358">IF(AJ133=0,0, AI134)</f>
        <v>1.5951445441303251</v>
      </c>
      <c r="AK134" s="222">
        <f t="shared" ref="AK134" si="2359">IF(AK133=0,0, AJ134)</f>
        <v>0</v>
      </c>
      <c r="AL134" s="222">
        <f t="shared" ref="AL134" si="2360">IF(AL133=0,0, AK134)</f>
        <v>0</v>
      </c>
      <c r="AM134" s="222">
        <f t="shared" ref="AM134" si="2361">IF(AM133=0,0, AL134)</f>
        <v>0</v>
      </c>
      <c r="AN134" s="222">
        <f t="shared" ref="AN134" si="2362">IF(AN133=0,0, AM134)</f>
        <v>0</v>
      </c>
      <c r="AO134" s="222">
        <f t="shared" ref="AO134" si="2363">IF(AO133=0,0, AN134)</f>
        <v>0</v>
      </c>
      <c r="AP134" s="222">
        <f t="shared" ref="AP134" si="2364">IF(AP133=0,0, AO134)</f>
        <v>0</v>
      </c>
      <c r="AQ134" s="222">
        <f t="shared" ref="AQ134" si="2365">IF(AQ133=0,0, AP134)</f>
        <v>0</v>
      </c>
      <c r="AR134" s="222">
        <f t="shared" ref="AR134" si="2366">IF(AR133=0,0, AQ134)</f>
        <v>0</v>
      </c>
      <c r="AS134" s="222">
        <f t="shared" ref="AS134" si="2367">IF(AS133=0,0, AR134)</f>
        <v>0</v>
      </c>
      <c r="AT134" s="222">
        <f t="shared" ref="AT134" si="2368">IF(AT133=0,0, AS134)</f>
        <v>0</v>
      </c>
      <c r="AU134" s="222">
        <f t="shared" ref="AU134" si="2369">IF(AU133=0,0, AT134)</f>
        <v>0</v>
      </c>
      <c r="AV134" s="222">
        <f t="shared" ref="AV134" si="2370">IF(AV133=0,0, AU134)</f>
        <v>0</v>
      </c>
      <c r="AW134" s="222">
        <f t="shared" ref="AW134" si="2371">IF(AW133=0,0, AV134)</f>
        <v>0</v>
      </c>
      <c r="AX134" s="222">
        <f t="shared" ref="AX134" si="2372">IF(AX133=0,0, AW134)</f>
        <v>0</v>
      </c>
      <c r="AY134" s="222">
        <f t="shared" ref="AY134" si="2373">IF(AY133=0,0, AX134)</f>
        <v>0</v>
      </c>
      <c r="AZ134" s="222">
        <f t="shared" ref="AZ134" si="2374">IF(AZ133=0,0, AY134)</f>
        <v>0</v>
      </c>
      <c r="BA134" s="222">
        <f t="shared" ref="BA134" si="2375">IF(BA133=0,0, AZ134)</f>
        <v>0</v>
      </c>
      <c r="BB134" s="222">
        <f t="shared" ref="BB134" si="2376">IF(BB133=0,0, BA134)</f>
        <v>0</v>
      </c>
      <c r="BC134" s="222">
        <f t="shared" ref="BC134" si="2377">IF(BC133=0,0, BB134)</f>
        <v>0</v>
      </c>
      <c r="BD134" s="222">
        <f t="shared" ref="BD134" si="2378">IF(BD133=0,0, BC134)</f>
        <v>0</v>
      </c>
      <c r="BE134" s="222">
        <f t="shared" ref="BE134" si="2379">IF(BE133=0,0, BD134)</f>
        <v>0</v>
      </c>
      <c r="BF134" s="222">
        <f t="shared" ref="BF134" si="2380">IF(BF133=0,0, BE134)</f>
        <v>0</v>
      </c>
      <c r="BG134" s="222">
        <f t="shared" ref="BG134" si="2381">IF(BG133=0,0, BF134)</f>
        <v>0</v>
      </c>
      <c r="BH134" s="222">
        <f t="shared" ref="BH134" si="2382">IF(BH133=0,0, BG134)</f>
        <v>0</v>
      </c>
      <c r="BI134" s="222">
        <f t="shared" ref="BI134" si="2383">IF(BI133=0,0, BH134)</f>
        <v>0</v>
      </c>
      <c r="BJ134" s="222">
        <f t="shared" ref="BJ134" si="2384">IF(BJ133=0,0, BI134)</f>
        <v>0</v>
      </c>
      <c r="BK134" s="222">
        <f t="shared" ref="BK134" si="2385">IF(BK133=0,0, BJ134)</f>
        <v>0</v>
      </c>
    </row>
    <row r="135" spans="1:63" ht="7.8" x14ac:dyDescent="0.15">
      <c r="A135" s="218" t="s">
        <v>180</v>
      </c>
      <c r="B135" s="192"/>
      <c r="C135" s="192"/>
      <c r="D135" s="192"/>
      <c r="E135" s="192"/>
      <c r="F135" s="192"/>
      <c r="G135" s="192"/>
      <c r="H135" s="192"/>
      <c r="I135" s="192"/>
      <c r="J135" s="192"/>
      <c r="K135" s="192"/>
      <c r="L135" s="192"/>
      <c r="M135" s="192"/>
      <c r="N135" s="192"/>
      <c r="O135" s="192"/>
      <c r="P135" s="192"/>
      <c r="Q135" s="192"/>
      <c r="R135" s="220" cm="1">
        <f t="array" ref="R135">R133*INDEX(LoanCohortRate,$A132)</f>
        <v>0.38541666666666669</v>
      </c>
      <c r="S135" s="221" cm="1">
        <f t="array" ref="S135">S133*INDEX(LoanCohortRate,$A132)</f>
        <v>0.36676669522243527</v>
      </c>
      <c r="T135" s="221" cm="1">
        <f t="array" ref="T135">T133*INDEX(LoanCohortRate,$A132)</f>
        <v>0.34782920338510526</v>
      </c>
      <c r="U135" s="221" cm="1">
        <f t="array" ref="U135">U133*INDEX(LoanCohortRate,$A132)</f>
        <v>0.32859975854861645</v>
      </c>
      <c r="V135" s="221" cm="1">
        <f t="array" ref="V135">V133*INDEX(LoanCohortRate,$A132)</f>
        <v>0.30907385977089846</v>
      </c>
      <c r="W135" s="221" cm="1">
        <f t="array" ref="W135">W133*INDEX(LoanCohortRate,$A132)</f>
        <v>0.28924693672035728</v>
      </c>
      <c r="X135" s="221" cm="1">
        <f t="array" ref="X135">X133*INDEX(LoanCohortRate,$A132)</f>
        <v>0.26911434860612032</v>
      </c>
      <c r="Y135" s="221" cm="1">
        <f t="array" ref="Y135">Y133*INDEX(LoanCohortRate,$A132)</f>
        <v>0.24867138309178882</v>
      </c>
      <c r="Z135" s="221" cm="1">
        <f t="array" ref="Z135">Z133*INDEX(LoanCohortRate,$A132)</f>
        <v>0.22791325519244471</v>
      </c>
      <c r="AA135" s="221" cm="1">
        <f t="array" ref="AA135">AA133*INDEX(LoanCohortRate,$A132)</f>
        <v>0.20683510615465239</v>
      </c>
      <c r="AB135" s="221" cm="1">
        <f t="array" ref="AB135">AB133*INDEX(LoanCohortRate,$A132)</f>
        <v>0.1854320023191941</v>
      </c>
      <c r="AC135" s="221" cm="1">
        <f t="array" ref="AC135">AC133*INDEX(LoanCohortRate,$A132)</f>
        <v>0.1636989339662725</v>
      </c>
      <c r="AD135" s="221" cm="1">
        <f t="array" ref="AD135">AD133*INDEX(LoanCohortRate,$A132)</f>
        <v>0.14163081414291001</v>
      </c>
      <c r="AE135" s="221" cm="1">
        <f t="array" ref="AE135">AE133*INDEX(LoanCohortRate,$A132)</f>
        <v>0.11922247747227069</v>
      </c>
      <c r="AF135" s="221" cm="1">
        <f t="array" ref="AF135">AF133*INDEX(LoanCohortRate,$A132)</f>
        <v>9.6468678944625685E-2</v>
      </c>
      <c r="AG135" s="221" cm="1">
        <f t="array" ref="AG135">AG133*INDEX(LoanCohortRate,$A132)</f>
        <v>7.3364092689679486E-2</v>
      </c>
      <c r="AH135" s="221" cm="1">
        <f t="array" ref="AH135">AH133*INDEX(LoanCohortRate,$A132)</f>
        <v>4.9903310729969536E-2</v>
      </c>
      <c r="AI135" s="221" cm="1">
        <f t="array" ref="AI135">AI133*INDEX(LoanCohortRate,$A132)</f>
        <v>2.6080841715047383E-2</v>
      </c>
      <c r="AJ135" s="221" cm="1">
        <f t="array" ref="AJ135">AJ133*INDEX(LoanCohortRate,$A132)</f>
        <v>1.8911096361451838E-3</v>
      </c>
      <c r="AK135" s="221" cm="1">
        <f t="array" ref="AK135">AK133*INDEX(LoanCohortRate,$A132)</f>
        <v>0</v>
      </c>
      <c r="AL135" s="221" cm="1">
        <f t="array" ref="AL135">AL133*INDEX(LoanCohortRate,$A132)</f>
        <v>0</v>
      </c>
      <c r="AM135" s="221" cm="1">
        <f t="array" ref="AM135">AM133*INDEX(LoanCohortRate,$A132)</f>
        <v>0</v>
      </c>
      <c r="AN135" s="221" cm="1">
        <f t="array" ref="AN135">AN133*INDEX(LoanCohortRate,$A132)</f>
        <v>0</v>
      </c>
      <c r="AO135" s="221" cm="1">
        <f t="array" ref="AO135">AO133*INDEX(LoanCohortRate,$A132)</f>
        <v>0</v>
      </c>
      <c r="AP135" s="221" cm="1">
        <f t="array" ref="AP135">AP133*INDEX(LoanCohortRate,$A132)</f>
        <v>0</v>
      </c>
      <c r="AQ135" s="221" cm="1">
        <f t="array" ref="AQ135">AQ133*INDEX(LoanCohortRate,$A132)</f>
        <v>0</v>
      </c>
      <c r="AR135" s="221" cm="1">
        <f t="array" ref="AR135">AR133*INDEX(LoanCohortRate,$A132)</f>
        <v>0</v>
      </c>
      <c r="AS135" s="221" cm="1">
        <f t="array" ref="AS135">AS133*INDEX(LoanCohortRate,$A132)</f>
        <v>0</v>
      </c>
      <c r="AT135" s="221" cm="1">
        <f t="array" ref="AT135">AT133*INDEX(LoanCohortRate,$A132)</f>
        <v>0</v>
      </c>
      <c r="AU135" s="221" cm="1">
        <f t="array" ref="AU135">AU133*INDEX(LoanCohortRate,$A132)</f>
        <v>0</v>
      </c>
      <c r="AV135" s="221" cm="1">
        <f t="array" ref="AV135">AV133*INDEX(LoanCohortRate,$A132)</f>
        <v>0</v>
      </c>
      <c r="AW135" s="221" cm="1">
        <f t="array" ref="AW135">AW133*INDEX(LoanCohortRate,$A132)</f>
        <v>0</v>
      </c>
      <c r="AX135" s="221" cm="1">
        <f t="array" ref="AX135">AX133*INDEX(LoanCohortRate,$A132)</f>
        <v>0</v>
      </c>
      <c r="AY135" s="221" cm="1">
        <f t="array" ref="AY135">AY133*INDEX(LoanCohortRate,$A132)</f>
        <v>0</v>
      </c>
      <c r="AZ135" s="221" cm="1">
        <f t="array" ref="AZ135">AZ133*INDEX(LoanCohortRate,$A132)</f>
        <v>0</v>
      </c>
      <c r="BA135" s="221" cm="1">
        <f t="array" ref="BA135">BA133*INDEX(LoanCohortRate,$A132)</f>
        <v>0</v>
      </c>
      <c r="BB135" s="221" cm="1">
        <f t="array" ref="BB135">BB133*INDEX(LoanCohortRate,$A132)</f>
        <v>0</v>
      </c>
      <c r="BC135" s="221" cm="1">
        <f t="array" ref="BC135">BC133*INDEX(LoanCohortRate,$A132)</f>
        <v>0</v>
      </c>
      <c r="BD135" s="221" cm="1">
        <f t="array" ref="BD135">BD133*INDEX(LoanCohortRate,$A132)</f>
        <v>0</v>
      </c>
      <c r="BE135" s="221" cm="1">
        <f t="array" ref="BE135">BE133*INDEX(LoanCohortRate,$A132)</f>
        <v>0</v>
      </c>
      <c r="BF135" s="221" cm="1">
        <f t="array" ref="BF135">BF133*INDEX(LoanCohortRate,$A132)</f>
        <v>0</v>
      </c>
      <c r="BG135" s="221" cm="1">
        <f t="array" ref="BG135">BG133*INDEX(LoanCohortRate,$A132)</f>
        <v>0</v>
      </c>
      <c r="BH135" s="221" cm="1">
        <f t="array" ref="BH135">BH133*INDEX(LoanCohortRate,$A132)</f>
        <v>0</v>
      </c>
      <c r="BI135" s="221" cm="1">
        <f t="array" ref="BI135">BI133*INDEX(LoanCohortRate,$A132)</f>
        <v>0</v>
      </c>
      <c r="BJ135" s="221" cm="1">
        <f t="array" ref="BJ135">BJ133*INDEX(LoanCohortRate,$A132)</f>
        <v>0</v>
      </c>
      <c r="BK135" s="221" cm="1">
        <f t="array" ref="BK135">BK133*INDEX(LoanCohortRate,$A132)</f>
        <v>0</v>
      </c>
    </row>
    <row r="136" spans="1:63" ht="7.8" x14ac:dyDescent="0.15">
      <c r="A136" s="218" t="s">
        <v>177</v>
      </c>
      <c r="B136" s="192"/>
      <c r="C136" s="192"/>
      <c r="D136" s="192"/>
      <c r="E136" s="192"/>
      <c r="F136" s="192"/>
      <c r="G136" s="192"/>
      <c r="H136" s="192"/>
      <c r="I136" s="192"/>
      <c r="J136" s="192"/>
      <c r="K136" s="192"/>
      <c r="L136" s="192"/>
      <c r="M136" s="192"/>
      <c r="N136" s="192"/>
      <c r="O136" s="192"/>
      <c r="P136" s="192"/>
      <c r="Q136" s="192"/>
      <c r="R136" s="219">
        <f>R134-R135</f>
        <v>1.2097278774636584</v>
      </c>
      <c r="S136" s="222">
        <f t="shared" ref="S136:BK136" si="2386">S134-S135</f>
        <v>1.2283778489078898</v>
      </c>
      <c r="T136" s="222">
        <f t="shared" si="2386"/>
        <v>1.24731534074522</v>
      </c>
      <c r="U136" s="222">
        <f t="shared" si="2386"/>
        <v>1.2665447855817087</v>
      </c>
      <c r="V136" s="222">
        <f t="shared" si="2386"/>
        <v>1.2860706843594267</v>
      </c>
      <c r="W136" s="222">
        <f t="shared" si="2386"/>
        <v>1.305897607409968</v>
      </c>
      <c r="X136" s="222">
        <f t="shared" si="2386"/>
        <v>1.3260301955242049</v>
      </c>
      <c r="Y136" s="222">
        <f t="shared" si="2386"/>
        <v>1.3464731610385363</v>
      </c>
      <c r="Z136" s="222">
        <f t="shared" si="2386"/>
        <v>1.3672312889378804</v>
      </c>
      <c r="AA136" s="222">
        <f t="shared" si="2386"/>
        <v>1.3883094379756726</v>
      </c>
      <c r="AB136" s="222">
        <f t="shared" si="2386"/>
        <v>1.4097125418111309</v>
      </c>
      <c r="AC136" s="222">
        <f t="shared" si="2386"/>
        <v>1.4314456101640527</v>
      </c>
      <c r="AD136" s="222">
        <f t="shared" si="2386"/>
        <v>1.453513729987415</v>
      </c>
      <c r="AE136" s="222">
        <f t="shared" si="2386"/>
        <v>1.4759220666580544</v>
      </c>
      <c r="AF136" s="222">
        <f t="shared" si="2386"/>
        <v>1.4986758651856995</v>
      </c>
      <c r="AG136" s="222">
        <f t="shared" si="2386"/>
        <v>1.5217804514406457</v>
      </c>
      <c r="AH136" s="222">
        <f t="shared" si="2386"/>
        <v>1.5452412334003556</v>
      </c>
      <c r="AI136" s="222">
        <f t="shared" si="2386"/>
        <v>1.5690637024152778</v>
      </c>
      <c r="AJ136" s="222">
        <f t="shared" si="2386"/>
        <v>1.59325343449418</v>
      </c>
      <c r="AK136" s="222">
        <f t="shared" si="2386"/>
        <v>0</v>
      </c>
      <c r="AL136" s="222">
        <f t="shared" si="2386"/>
        <v>0</v>
      </c>
      <c r="AM136" s="222">
        <f t="shared" si="2386"/>
        <v>0</v>
      </c>
      <c r="AN136" s="222">
        <f t="shared" si="2386"/>
        <v>0</v>
      </c>
      <c r="AO136" s="222">
        <f t="shared" si="2386"/>
        <v>0</v>
      </c>
      <c r="AP136" s="222">
        <f t="shared" si="2386"/>
        <v>0</v>
      </c>
      <c r="AQ136" s="222">
        <f t="shared" si="2386"/>
        <v>0</v>
      </c>
      <c r="AR136" s="222">
        <f t="shared" si="2386"/>
        <v>0</v>
      </c>
      <c r="AS136" s="222">
        <f t="shared" si="2386"/>
        <v>0</v>
      </c>
      <c r="AT136" s="222">
        <f t="shared" si="2386"/>
        <v>0</v>
      </c>
      <c r="AU136" s="222">
        <f t="shared" si="2386"/>
        <v>0</v>
      </c>
      <c r="AV136" s="222">
        <f t="shared" si="2386"/>
        <v>0</v>
      </c>
      <c r="AW136" s="222">
        <f t="shared" si="2386"/>
        <v>0</v>
      </c>
      <c r="AX136" s="222">
        <f t="shared" si="2386"/>
        <v>0</v>
      </c>
      <c r="AY136" s="222">
        <f t="shared" si="2386"/>
        <v>0</v>
      </c>
      <c r="AZ136" s="222">
        <f t="shared" si="2386"/>
        <v>0</v>
      </c>
      <c r="BA136" s="222">
        <f t="shared" si="2386"/>
        <v>0</v>
      </c>
      <c r="BB136" s="222">
        <f t="shared" si="2386"/>
        <v>0</v>
      </c>
      <c r="BC136" s="222">
        <f t="shared" si="2386"/>
        <v>0</v>
      </c>
      <c r="BD136" s="222">
        <f t="shared" si="2386"/>
        <v>0</v>
      </c>
      <c r="BE136" s="222">
        <f t="shared" si="2386"/>
        <v>0</v>
      </c>
      <c r="BF136" s="222">
        <f t="shared" si="2386"/>
        <v>0</v>
      </c>
      <c r="BG136" s="222">
        <f t="shared" si="2386"/>
        <v>0</v>
      </c>
      <c r="BH136" s="222">
        <f t="shared" si="2386"/>
        <v>0</v>
      </c>
      <c r="BI136" s="222">
        <f t="shared" si="2386"/>
        <v>0</v>
      </c>
      <c r="BJ136" s="222">
        <f t="shared" si="2386"/>
        <v>0</v>
      </c>
      <c r="BK136" s="222">
        <f t="shared" si="2386"/>
        <v>0</v>
      </c>
    </row>
    <row r="137" spans="1:63" ht="7.8" x14ac:dyDescent="0.15">
      <c r="A137" s="205" t="s">
        <v>7</v>
      </c>
      <c r="B137" s="192"/>
      <c r="C137" s="192"/>
      <c r="D137" s="192"/>
      <c r="E137" s="192"/>
      <c r="F137" s="192"/>
      <c r="G137" s="192"/>
      <c r="H137" s="192"/>
      <c r="I137" s="192"/>
      <c r="J137" s="192"/>
      <c r="K137" s="192"/>
      <c r="L137" s="192"/>
      <c r="M137" s="192"/>
      <c r="N137" s="192"/>
      <c r="O137" s="192"/>
      <c r="P137" s="192"/>
      <c r="Q137" s="192"/>
      <c r="R137" s="214" cm="1">
        <f t="array" ref="R137">INDEX(LoanOriginations,$A132)</f>
        <v>107.23211319284393</v>
      </c>
      <c r="S137" s="199">
        <f t="shared" ref="S137:BK137" si="2387">R137*(1-MitigateDelinquency*MitigateChargeoff)  *  IF(S132=0,0,IF(S132-102=LoanSaleHeld,0.6,1))</f>
        <v>107.12488107965108</v>
      </c>
      <c r="T137" s="199">
        <f t="shared" si="2387"/>
        <v>107.01775619857142</v>
      </c>
      <c r="U137" s="199">
        <f t="shared" si="2387"/>
        <v>106.91073844237285</v>
      </c>
      <c r="V137" s="199">
        <f t="shared" si="2387"/>
        <v>64.082296622358285</v>
      </c>
      <c r="W137" s="199">
        <f t="shared" si="2387"/>
        <v>64.018214325735926</v>
      </c>
      <c r="X137" s="199">
        <f t="shared" si="2387"/>
        <v>63.954196111410191</v>
      </c>
      <c r="Y137" s="199">
        <f t="shared" si="2387"/>
        <v>63.89024191529878</v>
      </c>
      <c r="Z137" s="199">
        <f t="shared" si="2387"/>
        <v>63.826351673383485</v>
      </c>
      <c r="AA137" s="199">
        <f t="shared" si="2387"/>
        <v>63.7625253217101</v>
      </c>
      <c r="AB137" s="199">
        <f t="shared" si="2387"/>
        <v>63.698762796388394</v>
      </c>
      <c r="AC137" s="199">
        <f t="shared" si="2387"/>
        <v>63.635064033592002</v>
      </c>
      <c r="AD137" s="199">
        <f t="shared" si="2387"/>
        <v>63.571428969558411</v>
      </c>
      <c r="AE137" s="199">
        <f t="shared" si="2387"/>
        <v>63.507857540588851</v>
      </c>
      <c r="AF137" s="199">
        <f t="shared" si="2387"/>
        <v>63.444349683048266</v>
      </c>
      <c r="AG137" s="199">
        <f t="shared" si="2387"/>
        <v>63.38090533336522</v>
      </c>
      <c r="AH137" s="199">
        <f t="shared" si="2387"/>
        <v>63.317524428031852</v>
      </c>
      <c r="AI137" s="199">
        <f t="shared" si="2387"/>
        <v>63.254206903603823</v>
      </c>
      <c r="AJ137" s="199">
        <f t="shared" si="2387"/>
        <v>63.190952696700222</v>
      </c>
      <c r="AK137" s="199">
        <f t="shared" si="2387"/>
        <v>0</v>
      </c>
      <c r="AL137" s="199">
        <f t="shared" si="2387"/>
        <v>0</v>
      </c>
      <c r="AM137" s="199">
        <f t="shared" si="2387"/>
        <v>0</v>
      </c>
      <c r="AN137" s="199">
        <f t="shared" si="2387"/>
        <v>0</v>
      </c>
      <c r="AO137" s="199">
        <f t="shared" si="2387"/>
        <v>0</v>
      </c>
      <c r="AP137" s="199">
        <f t="shared" si="2387"/>
        <v>0</v>
      </c>
      <c r="AQ137" s="199">
        <f t="shared" si="2387"/>
        <v>0</v>
      </c>
      <c r="AR137" s="199">
        <f t="shared" si="2387"/>
        <v>0</v>
      </c>
      <c r="AS137" s="199">
        <f t="shared" si="2387"/>
        <v>0</v>
      </c>
      <c r="AT137" s="199">
        <f t="shared" si="2387"/>
        <v>0</v>
      </c>
      <c r="AU137" s="199">
        <f t="shared" si="2387"/>
        <v>0</v>
      </c>
      <c r="AV137" s="199">
        <f t="shared" si="2387"/>
        <v>0</v>
      </c>
      <c r="AW137" s="199">
        <f t="shared" si="2387"/>
        <v>0</v>
      </c>
      <c r="AX137" s="199">
        <f t="shared" si="2387"/>
        <v>0</v>
      </c>
      <c r="AY137" s="199">
        <f t="shared" si="2387"/>
        <v>0</v>
      </c>
      <c r="AZ137" s="199">
        <f t="shared" si="2387"/>
        <v>0</v>
      </c>
      <c r="BA137" s="199">
        <f t="shared" si="2387"/>
        <v>0</v>
      </c>
      <c r="BB137" s="199">
        <f t="shared" si="2387"/>
        <v>0</v>
      </c>
      <c r="BC137" s="199">
        <f t="shared" si="2387"/>
        <v>0</v>
      </c>
      <c r="BD137" s="199">
        <f t="shared" si="2387"/>
        <v>0</v>
      </c>
      <c r="BE137" s="199">
        <f t="shared" si="2387"/>
        <v>0</v>
      </c>
      <c r="BF137" s="199">
        <f t="shared" si="2387"/>
        <v>0</v>
      </c>
      <c r="BG137" s="199">
        <f t="shared" si="2387"/>
        <v>0</v>
      </c>
      <c r="BH137" s="199">
        <f t="shared" si="2387"/>
        <v>0</v>
      </c>
      <c r="BI137" s="199">
        <f t="shared" si="2387"/>
        <v>0</v>
      </c>
      <c r="BJ137" s="199">
        <f t="shared" si="2387"/>
        <v>0</v>
      </c>
      <c r="BK137" s="199">
        <f t="shared" si="2387"/>
        <v>0</v>
      </c>
    </row>
    <row r="138" spans="1:63" ht="7.8" x14ac:dyDescent="0.15">
      <c r="A138" s="207" t="s">
        <v>96</v>
      </c>
      <c r="B138" s="192"/>
      <c r="C138" s="192"/>
      <c r="D138" s="192"/>
      <c r="E138" s="192"/>
      <c r="F138" s="192"/>
      <c r="G138" s="192"/>
      <c r="H138" s="192"/>
      <c r="I138" s="192"/>
      <c r="J138" s="192"/>
      <c r="K138" s="192"/>
      <c r="L138" s="192"/>
      <c r="M138" s="192"/>
      <c r="N138" s="192"/>
      <c r="O138" s="192"/>
      <c r="P138" s="192"/>
      <c r="Q138" s="192"/>
      <c r="R138" s="223">
        <f>R135*R137</f>
        <v>41.329043626408598</v>
      </c>
      <c r="S138" s="200">
        <f t="shared" ref="S138" si="2388">S135*S137</f>
        <v>39.289838609680011</v>
      </c>
      <c r="T138" s="200">
        <f t="shared" ref="T138" si="2389">T135*T137</f>
        <v>37.223900886610508</v>
      </c>
      <c r="U138" s="200">
        <f t="shared" ref="U138" si="2390">U135*U137</f>
        <v>35.130842838418005</v>
      </c>
      <c r="V138" s="200">
        <f t="shared" ref="V138" si="2391">V135*V137</f>
        <v>19.806162760055884</v>
      </c>
      <c r="W138" s="200">
        <f t="shared" ref="W138" si="2392">W135*W137</f>
        <v>18.51707238802641</v>
      </c>
      <c r="X138" s="200">
        <f t="shared" ref="X138" si="2393">X135*X137</f>
        <v>17.210991827150227</v>
      </c>
      <c r="Y138" s="200">
        <f t="shared" ref="Y138" si="2394">Y135*Y137</f>
        <v>15.887674823146327</v>
      </c>
      <c r="Z138" s="200">
        <f t="shared" ref="Z138" si="2395">Z135*Z137</f>
        <v>14.546871576938571</v>
      </c>
      <c r="AA138" s="200">
        <f t="shared" ref="AA138" si="2396">AA135*AA137</f>
        <v>13.188328693604619</v>
      </c>
      <c r="AB138" s="200">
        <f t="shared" ref="AB138" si="2397">AB135*AB137</f>
        <v>11.811789130589688</v>
      </c>
      <c r="AC138" s="200">
        <f t="shared" ref="AC138" si="2398">AC135*AC137</f>
        <v>10.416992145174499</v>
      </c>
      <c r="AD138" s="200">
        <f t="shared" ref="AD138" si="2399">AD135*AD137</f>
        <v>9.003673241186732</v>
      </c>
      <c r="AE138" s="200">
        <f t="shared" ref="AE138" si="2400">AE135*AE137</f>
        <v>7.5715641149450308</v>
      </c>
      <c r="AF138" s="200">
        <f t="shared" ref="AF138" si="2401">AF135*AF137</f>
        <v>6.1203926004245472</v>
      </c>
      <c r="AG138" s="200">
        <f t="shared" ref="AG138" si="2402">AG135*AG137</f>
        <v>4.6498826136328066</v>
      </c>
      <c r="AH138" s="200">
        <f t="shared" ref="AH138" si="2403">AH135*AH137</f>
        <v>3.1597540961845101</v>
      </c>
      <c r="AI138" s="200">
        <f t="shared" ref="AI138" si="2404">AI135*AI137</f>
        <v>1.6497229580637487</v>
      </c>
      <c r="AJ138" s="200">
        <f t="shared" ref="AJ138" si="2405">AJ135*AJ137</f>
        <v>0.11950101956192428</v>
      </c>
      <c r="AK138" s="200">
        <f t="shared" ref="AK138" si="2406">AK135*AK137</f>
        <v>0</v>
      </c>
      <c r="AL138" s="200">
        <f t="shared" ref="AL138" si="2407">AL135*AL137</f>
        <v>0</v>
      </c>
      <c r="AM138" s="200">
        <f t="shared" ref="AM138" si="2408">AM135*AM137</f>
        <v>0</v>
      </c>
      <c r="AN138" s="200">
        <f t="shared" ref="AN138" si="2409">AN135*AN137</f>
        <v>0</v>
      </c>
      <c r="AO138" s="200">
        <f t="shared" ref="AO138" si="2410">AO135*AO137</f>
        <v>0</v>
      </c>
      <c r="AP138" s="200">
        <f t="shared" ref="AP138" si="2411">AP135*AP137</f>
        <v>0</v>
      </c>
      <c r="AQ138" s="200">
        <f t="shared" ref="AQ138" si="2412">AQ135*AQ137</f>
        <v>0</v>
      </c>
      <c r="AR138" s="200">
        <f t="shared" ref="AR138" si="2413">AR135*AR137</f>
        <v>0</v>
      </c>
      <c r="AS138" s="200">
        <f t="shared" ref="AS138" si="2414">AS135*AS137</f>
        <v>0</v>
      </c>
      <c r="AT138" s="200">
        <f t="shared" ref="AT138" si="2415">AT135*AT137</f>
        <v>0</v>
      </c>
      <c r="AU138" s="200">
        <f t="shared" ref="AU138" si="2416">AU135*AU137</f>
        <v>0</v>
      </c>
      <c r="AV138" s="200">
        <f t="shared" ref="AV138" si="2417">AV135*AV137</f>
        <v>0</v>
      </c>
      <c r="AW138" s="200">
        <f t="shared" ref="AW138" si="2418">AW135*AW137</f>
        <v>0</v>
      </c>
      <c r="AX138" s="200">
        <f t="shared" ref="AX138" si="2419">AX135*AX137</f>
        <v>0</v>
      </c>
      <c r="AY138" s="200">
        <f t="shared" ref="AY138" si="2420">AY135*AY137</f>
        <v>0</v>
      </c>
      <c r="AZ138" s="200">
        <f t="shared" ref="AZ138" si="2421">AZ135*AZ137</f>
        <v>0</v>
      </c>
      <c r="BA138" s="200">
        <f t="shared" ref="BA138" si="2422">BA135*BA137</f>
        <v>0</v>
      </c>
      <c r="BB138" s="200">
        <f t="shared" ref="BB138" si="2423">BB135*BB137</f>
        <v>0</v>
      </c>
      <c r="BC138" s="200">
        <f t="shared" ref="BC138" si="2424">BC135*BC137</f>
        <v>0</v>
      </c>
      <c r="BD138" s="200">
        <f t="shared" ref="BD138" si="2425">BD135*BD137</f>
        <v>0</v>
      </c>
      <c r="BE138" s="200">
        <f t="shared" ref="BE138" si="2426">BE135*BE137</f>
        <v>0</v>
      </c>
      <c r="BF138" s="200">
        <f t="shared" ref="BF138" si="2427">BF135*BF137</f>
        <v>0</v>
      </c>
      <c r="BG138" s="200">
        <f t="shared" ref="BG138" si="2428">BG135*BG137</f>
        <v>0</v>
      </c>
      <c r="BH138" s="200">
        <f t="shared" ref="BH138" si="2429">BH135*BH137</f>
        <v>0</v>
      </c>
      <c r="BI138" s="200">
        <f t="shared" ref="BI138" si="2430">BI135*BI137</f>
        <v>0</v>
      </c>
      <c r="BJ138" s="200">
        <f t="shared" ref="BJ138" si="2431">BJ135*BJ137</f>
        <v>0</v>
      </c>
      <c r="BK138" s="200">
        <f t="shared" ref="BK138" si="2432">BK135*BK137</f>
        <v>0</v>
      </c>
    </row>
    <row r="139" spans="1:63" ht="7.8" x14ac:dyDescent="0.15">
      <c r="A139" s="206" t="s">
        <v>97</v>
      </c>
      <c r="B139" s="192"/>
      <c r="C139" s="192"/>
      <c r="D139" s="192"/>
      <c r="E139" s="192"/>
      <c r="F139" s="192"/>
      <c r="G139" s="192"/>
      <c r="H139" s="192"/>
      <c r="I139" s="192"/>
      <c r="J139" s="192"/>
      <c r="K139" s="192"/>
      <c r="L139" s="192"/>
      <c r="M139" s="192"/>
      <c r="N139" s="192"/>
      <c r="O139" s="192"/>
      <c r="P139" s="192"/>
      <c r="Q139" s="192"/>
      <c r="R139" s="223">
        <f>R136*R137</f>
        <v>129.72167668872186</v>
      </c>
      <c r="S139" s="200">
        <f>S136*S137</f>
        <v>131.58983098513528</v>
      </c>
      <c r="T139" s="200">
        <f t="shared" ref="T139:BK139" si="2433">T136*T137</f>
        <v>133.48488903860999</v>
      </c>
      <c r="U139" s="200">
        <f t="shared" si="2433"/>
        <v>135.40723829687727</v>
      </c>
      <c r="V139" s="200">
        <f t="shared" si="2433"/>
        <v>82.414363072440096</v>
      </c>
      <c r="W139" s="200">
        <f t="shared" si="2433"/>
        <v>83.601232918637081</v>
      </c>
      <c r="X139" s="200">
        <f t="shared" si="2433"/>
        <v>84.805195174206602</v>
      </c>
      <c r="Y139" s="200">
        <f t="shared" si="2433"/>
        <v>86.026495991209131</v>
      </c>
      <c r="Z139" s="200">
        <f t="shared" si="2433"/>
        <v>87.265385066602533</v>
      </c>
      <c r="AA139" s="200">
        <f t="shared" si="2433"/>
        <v>88.522115693292946</v>
      </c>
      <c r="AB139" s="200">
        <f t="shared" si="2433"/>
        <v>89.79694481192098</v>
      </c>
      <c r="AC139" s="200">
        <f t="shared" si="2433"/>
        <v>91.090133063393665</v>
      </c>
      <c r="AD139" s="200">
        <f t="shared" si="2433"/>
        <v>92.401944842172853</v>
      </c>
      <c r="AE139" s="200">
        <f t="shared" si="2433"/>
        <v>93.732648350331203</v>
      </c>
      <c r="AF139" s="200">
        <f t="shared" si="2433"/>
        <v>95.082515652386419</v>
      </c>
      <c r="AG139" s="200">
        <f t="shared" si="2433"/>
        <v>96.451822730925358</v>
      </c>
      <c r="AH139" s="200">
        <f t="shared" si="2433"/>
        <v>97.84084954302908</v>
      </c>
      <c r="AI139" s="200">
        <f t="shared" si="2433"/>
        <v>99.249880077510639</v>
      </c>
      <c r="AJ139" s="200">
        <f t="shared" si="2433"/>
        <v>100.67920241297689</v>
      </c>
      <c r="AK139" s="200">
        <f t="shared" si="2433"/>
        <v>0</v>
      </c>
      <c r="AL139" s="200">
        <f t="shared" si="2433"/>
        <v>0</v>
      </c>
      <c r="AM139" s="200">
        <f t="shared" si="2433"/>
        <v>0</v>
      </c>
      <c r="AN139" s="200">
        <f t="shared" si="2433"/>
        <v>0</v>
      </c>
      <c r="AO139" s="200">
        <f t="shared" si="2433"/>
        <v>0</v>
      </c>
      <c r="AP139" s="200">
        <f t="shared" si="2433"/>
        <v>0</v>
      </c>
      <c r="AQ139" s="200">
        <f t="shared" si="2433"/>
        <v>0</v>
      </c>
      <c r="AR139" s="200">
        <f t="shared" si="2433"/>
        <v>0</v>
      </c>
      <c r="AS139" s="200">
        <f t="shared" si="2433"/>
        <v>0</v>
      </c>
      <c r="AT139" s="200">
        <f t="shared" si="2433"/>
        <v>0</v>
      </c>
      <c r="AU139" s="200">
        <f t="shared" si="2433"/>
        <v>0</v>
      </c>
      <c r="AV139" s="200">
        <f t="shared" si="2433"/>
        <v>0</v>
      </c>
      <c r="AW139" s="200">
        <f t="shared" si="2433"/>
        <v>0</v>
      </c>
      <c r="AX139" s="200">
        <f t="shared" si="2433"/>
        <v>0</v>
      </c>
      <c r="AY139" s="200">
        <f t="shared" si="2433"/>
        <v>0</v>
      </c>
      <c r="AZ139" s="200">
        <f t="shared" si="2433"/>
        <v>0</v>
      </c>
      <c r="BA139" s="200">
        <f t="shared" si="2433"/>
        <v>0</v>
      </c>
      <c r="BB139" s="200">
        <f t="shared" si="2433"/>
        <v>0</v>
      </c>
      <c r="BC139" s="200">
        <f t="shared" si="2433"/>
        <v>0</v>
      </c>
      <c r="BD139" s="200">
        <f t="shared" si="2433"/>
        <v>0</v>
      </c>
      <c r="BE139" s="200">
        <f t="shared" si="2433"/>
        <v>0</v>
      </c>
      <c r="BF139" s="200">
        <f t="shared" si="2433"/>
        <v>0</v>
      </c>
      <c r="BG139" s="200">
        <f t="shared" si="2433"/>
        <v>0</v>
      </c>
      <c r="BH139" s="200">
        <f t="shared" si="2433"/>
        <v>0</v>
      </c>
      <c r="BI139" s="200">
        <f t="shared" si="2433"/>
        <v>0</v>
      </c>
      <c r="BJ139" s="200">
        <f t="shared" si="2433"/>
        <v>0</v>
      </c>
      <c r="BK139" s="200">
        <f t="shared" si="2433"/>
        <v>0</v>
      </c>
    </row>
    <row r="140" spans="1:63" ht="7.8" x14ac:dyDescent="0.15">
      <c r="A140" s="208" t="s">
        <v>203</v>
      </c>
      <c r="B140" s="192"/>
      <c r="C140" s="192"/>
      <c r="D140" s="192"/>
      <c r="E140" s="192"/>
      <c r="F140" s="192"/>
      <c r="G140" s="192"/>
      <c r="H140" s="192"/>
      <c r="I140" s="192"/>
      <c r="J140" s="192"/>
      <c r="K140" s="192"/>
      <c r="L140" s="192"/>
      <c r="M140" s="192"/>
      <c r="N140" s="192"/>
      <c r="O140" s="192"/>
      <c r="P140" s="192"/>
      <c r="Q140" s="192"/>
      <c r="R140" s="224">
        <f>IF(R132-101&lt;&gt;LoanSaleHeld,0,SUM($D139:R139)*LoanSalePercent)</f>
        <v>0</v>
      </c>
      <c r="S140" s="225">
        <f>IF(S132-101&lt;&gt;LoanSaleHeld,0,SUM($D139:S139)*LoanSalePercent)</f>
        <v>0</v>
      </c>
      <c r="T140" s="225">
        <f>IF(T132-101&lt;&gt;LoanSaleHeld,0,SUM($D139:T139)*LoanSalePercent)</f>
        <v>0</v>
      </c>
      <c r="U140" s="225">
        <f>IF(U132-101&lt;&gt;LoanSaleHeld,0,SUM($D139:U139)*LoanSalePercent)</f>
        <v>212.0814540037378</v>
      </c>
      <c r="V140" s="225">
        <f>IF(V132-101&lt;&gt;LoanSaleHeld,0,SUM($D139:V139)*LoanSalePercent)</f>
        <v>0</v>
      </c>
      <c r="W140" s="225">
        <f>IF(W132-101&lt;&gt;LoanSaleHeld,0,SUM($D139:W139)*LoanSalePercent)</f>
        <v>0</v>
      </c>
      <c r="X140" s="225">
        <f>IF(X132-101&lt;&gt;LoanSaleHeld,0,SUM($D139:X139)*LoanSalePercent)</f>
        <v>0</v>
      </c>
      <c r="Y140" s="225">
        <f>IF(Y132-101&lt;&gt;LoanSaleHeld,0,SUM($D139:Y139)*LoanSalePercent)</f>
        <v>0</v>
      </c>
      <c r="Z140" s="225">
        <f>IF(Z132-101&lt;&gt;LoanSaleHeld,0,SUM($D139:Z139)*LoanSalePercent)</f>
        <v>0</v>
      </c>
      <c r="AA140" s="225">
        <f>IF(AA132-101&lt;&gt;LoanSaleHeld,0,SUM($D139:AA139)*LoanSalePercent)</f>
        <v>0</v>
      </c>
      <c r="AB140" s="225">
        <f>IF(AB132-101&lt;&gt;LoanSaleHeld,0,SUM($D139:AB139)*LoanSalePercent)</f>
        <v>0</v>
      </c>
      <c r="AC140" s="225">
        <f>IF(AC132-101&lt;&gt;LoanSaleHeld,0,SUM($D139:AC139)*LoanSalePercent)</f>
        <v>0</v>
      </c>
      <c r="AD140" s="225">
        <f>IF(AD132-101&lt;&gt;LoanSaleHeld,0,SUM($D139:AD139)*LoanSalePercent)</f>
        <v>0</v>
      </c>
      <c r="AE140" s="225">
        <f>IF(AE132-101&lt;&gt;LoanSaleHeld,0,SUM($D139:AE139)*LoanSalePercent)</f>
        <v>0</v>
      </c>
      <c r="AF140" s="225">
        <f>IF(AF132-101&lt;&gt;LoanSaleHeld,0,SUM($D139:AF139)*LoanSalePercent)</f>
        <v>0</v>
      </c>
      <c r="AG140" s="225">
        <f>IF(AG132-101&lt;&gt;LoanSaleHeld,0,SUM($D139:AG139)*LoanSalePercent)</f>
        <v>0</v>
      </c>
      <c r="AH140" s="225">
        <f>IF(AH132-101&lt;&gt;LoanSaleHeld,0,SUM($D139:AH139)*LoanSalePercent)</f>
        <v>0</v>
      </c>
      <c r="AI140" s="225">
        <f>IF(AI132-101&lt;&gt;LoanSaleHeld,0,SUM($D139:AI139)*LoanSalePercent)</f>
        <v>0</v>
      </c>
      <c r="AJ140" s="225">
        <f>IF(AJ132-101&lt;&gt;LoanSaleHeld,0,SUM($D139:AJ139)*LoanSalePercent)</f>
        <v>0</v>
      </c>
      <c r="AK140" s="225">
        <f>IF(AK132-101&lt;&gt;LoanSaleHeld,0,SUM($D139:AK139)*LoanSalePercent)</f>
        <v>0</v>
      </c>
      <c r="AL140" s="225">
        <f>IF(AL132-101&lt;&gt;LoanSaleHeld,0,SUM($D139:AL139)*LoanSalePercent)</f>
        <v>0</v>
      </c>
      <c r="AM140" s="225">
        <f>IF(AM132-101&lt;&gt;LoanSaleHeld,0,SUM($D139:AM139)*LoanSalePercent)</f>
        <v>0</v>
      </c>
      <c r="AN140" s="225">
        <f>IF(AN132-101&lt;&gt;LoanSaleHeld,0,SUM($D139:AN139)*LoanSalePercent)</f>
        <v>0</v>
      </c>
      <c r="AO140" s="225">
        <f>IF(AO132-101&lt;&gt;LoanSaleHeld,0,SUM($D139:AO139)*LoanSalePercent)</f>
        <v>0</v>
      </c>
      <c r="AP140" s="225">
        <f>IF(AP132-101&lt;&gt;LoanSaleHeld,0,SUM($D139:AP139)*LoanSalePercent)</f>
        <v>0</v>
      </c>
      <c r="AQ140" s="225">
        <f>IF(AQ132-101&lt;&gt;LoanSaleHeld,0,SUM($D139:AQ139)*LoanSalePercent)</f>
        <v>0</v>
      </c>
      <c r="AR140" s="225">
        <f>IF(AR132-101&lt;&gt;LoanSaleHeld,0,SUM($D139:AR139)*LoanSalePercent)</f>
        <v>0</v>
      </c>
      <c r="AS140" s="225">
        <f>IF(AS132-101&lt;&gt;LoanSaleHeld,0,SUM($D139:AS139)*LoanSalePercent)</f>
        <v>0</v>
      </c>
      <c r="AT140" s="225">
        <f>IF(AT132-101&lt;&gt;LoanSaleHeld,0,SUM($D139:AT139)*LoanSalePercent)</f>
        <v>0</v>
      </c>
      <c r="AU140" s="225">
        <f>IF(AU132-101&lt;&gt;LoanSaleHeld,0,SUM($D139:AU139)*LoanSalePercent)</f>
        <v>0</v>
      </c>
      <c r="AV140" s="225">
        <f>IF(AV132-101&lt;&gt;LoanSaleHeld,0,SUM($D139:AV139)*LoanSalePercent)</f>
        <v>0</v>
      </c>
      <c r="AW140" s="225">
        <f>IF(AW132-101&lt;&gt;LoanSaleHeld,0,SUM($D139:AW139)*LoanSalePercent)</f>
        <v>0</v>
      </c>
      <c r="AX140" s="225">
        <f>IF(AX132-101&lt;&gt;LoanSaleHeld,0,SUM($D139:AX139)*LoanSalePercent)</f>
        <v>0</v>
      </c>
      <c r="AY140" s="225">
        <f>IF(AY132-101&lt;&gt;LoanSaleHeld,0,SUM($D139:AY139)*LoanSalePercent)</f>
        <v>0</v>
      </c>
      <c r="AZ140" s="225">
        <f>IF(AZ132-101&lt;&gt;LoanSaleHeld,0,SUM($D139:AZ139)*LoanSalePercent)</f>
        <v>0</v>
      </c>
      <c r="BA140" s="225">
        <f>IF(BA132-101&lt;&gt;LoanSaleHeld,0,SUM($D139:BA139)*LoanSalePercent)</f>
        <v>0</v>
      </c>
      <c r="BB140" s="225">
        <f>IF(BB132-101&lt;&gt;LoanSaleHeld,0,SUM($D139:BB139)*LoanSalePercent)</f>
        <v>0</v>
      </c>
      <c r="BC140" s="225">
        <f>IF(BC132-101&lt;&gt;LoanSaleHeld,0,SUM($D139:BC139)*LoanSalePercent)</f>
        <v>0</v>
      </c>
      <c r="BD140" s="225">
        <f>IF(BD132-101&lt;&gt;LoanSaleHeld,0,SUM($D139:BD139)*LoanSalePercent)</f>
        <v>0</v>
      </c>
      <c r="BE140" s="225">
        <f>IF(BE132-101&lt;&gt;LoanSaleHeld,0,SUM($D139:BE139)*LoanSalePercent)</f>
        <v>0</v>
      </c>
      <c r="BF140" s="225">
        <f>IF(BF132-101&lt;&gt;LoanSaleHeld,0,SUM($D139:BF139)*LoanSalePercent)</f>
        <v>0</v>
      </c>
      <c r="BG140" s="225">
        <f>IF(BG132-101&lt;&gt;LoanSaleHeld,0,SUM($D139:BG139)*LoanSalePercent)</f>
        <v>0</v>
      </c>
      <c r="BH140" s="225">
        <f>IF(BH132-101&lt;&gt;LoanSaleHeld,0,SUM($D139:BH139)*LoanSalePercent)</f>
        <v>0</v>
      </c>
      <c r="BI140" s="225">
        <f>IF(BI132-101&lt;&gt;LoanSaleHeld,0,SUM($D139:BI139)*LoanSalePercent)</f>
        <v>0</v>
      </c>
      <c r="BJ140" s="225">
        <f>IF(BJ132-101&lt;&gt;LoanSaleHeld,0,SUM($D139:BJ139)*LoanSalePercent)</f>
        <v>0</v>
      </c>
      <c r="BK140" s="225">
        <f>IF(BK132-101&lt;&gt;LoanSaleHeld,0,SUM($D139:BK139)*LoanSalePercent)</f>
        <v>0</v>
      </c>
    </row>
    <row r="141" spans="1:63" ht="7.8" x14ac:dyDescent="0.15">
      <c r="A141" s="204">
        <f t="shared" ref="A141" si="2434">A132+1</f>
        <v>16</v>
      </c>
      <c r="B141" s="192"/>
      <c r="C141" s="192"/>
      <c r="D141" s="192"/>
      <c r="E141" s="192"/>
      <c r="F141" s="192"/>
      <c r="G141" s="192"/>
      <c r="H141" s="192"/>
      <c r="I141" s="192"/>
      <c r="J141" s="192"/>
      <c r="K141" s="192"/>
      <c r="L141" s="192"/>
      <c r="M141" s="192"/>
      <c r="N141" s="192"/>
      <c r="O141" s="192"/>
      <c r="P141" s="192"/>
      <c r="Q141" s="192"/>
      <c r="R141" s="192"/>
      <c r="S141" s="195">
        <v>101</v>
      </c>
      <c r="T141" s="196">
        <f t="shared" ref="T141" si="2435">IF(T142=0,0,S141+1)</f>
        <v>102</v>
      </c>
      <c r="U141" s="196">
        <f t="shared" ref="U141" si="2436">IF(U142=0,0,T141+1)</f>
        <v>103</v>
      </c>
      <c r="V141" s="196">
        <f t="shared" ref="V141" si="2437">IF(V142=0,0,U141+1)</f>
        <v>104</v>
      </c>
      <c r="W141" s="196">
        <f t="shared" ref="W141" si="2438">IF(W142=0,0,V141+1)</f>
        <v>105</v>
      </c>
      <c r="X141" s="196">
        <f t="shared" ref="X141" si="2439">IF(X142=0,0,W141+1)</f>
        <v>106</v>
      </c>
      <c r="Y141" s="196">
        <f t="shared" ref="Y141" si="2440">IF(Y142=0,0,X141+1)</f>
        <v>107</v>
      </c>
      <c r="Z141" s="196">
        <f t="shared" ref="Z141" si="2441">IF(Z142=0,0,Y141+1)</f>
        <v>108</v>
      </c>
      <c r="AA141" s="196">
        <f t="shared" ref="AA141" si="2442">IF(AA142=0,0,Z141+1)</f>
        <v>109</v>
      </c>
      <c r="AB141" s="196">
        <f t="shared" ref="AB141" si="2443">IF(AB142=0,0,AA141+1)</f>
        <v>110</v>
      </c>
      <c r="AC141" s="196">
        <f t="shared" ref="AC141" si="2444">IF(AC142=0,0,AB141+1)</f>
        <v>111</v>
      </c>
      <c r="AD141" s="196">
        <f t="shared" ref="AD141" si="2445">IF(AD142=0,0,AC141+1)</f>
        <v>112</v>
      </c>
      <c r="AE141" s="196">
        <f t="shared" ref="AE141" si="2446">IF(AE142=0,0,AD141+1)</f>
        <v>113</v>
      </c>
      <c r="AF141" s="196">
        <f t="shared" ref="AF141" si="2447">IF(AF142=0,0,AE141+1)</f>
        <v>114</v>
      </c>
      <c r="AG141" s="196">
        <f t="shared" ref="AG141" si="2448">IF(AG142=0,0,AF141+1)</f>
        <v>115</v>
      </c>
      <c r="AH141" s="196">
        <f t="shared" ref="AH141" si="2449">IF(AH142=0,0,AG141+1)</f>
        <v>116</v>
      </c>
      <c r="AI141" s="196">
        <f t="shared" ref="AI141" si="2450">IF(AI142=0,0,AH141+1)</f>
        <v>117</v>
      </c>
      <c r="AJ141" s="196">
        <f t="shared" ref="AJ141" si="2451">IF(AJ142=0,0,AI141+1)</f>
        <v>118</v>
      </c>
      <c r="AK141" s="196">
        <f t="shared" ref="AK141" si="2452">IF(AK142=0,0,AJ141+1)</f>
        <v>119</v>
      </c>
      <c r="AL141" s="196">
        <f t="shared" ref="AL141" si="2453">IF(AL142=0,0,AK141+1)</f>
        <v>0</v>
      </c>
      <c r="AM141" s="196">
        <f t="shared" ref="AM141" si="2454">IF(AM142=0,0,AL141+1)</f>
        <v>0</v>
      </c>
      <c r="AN141" s="196">
        <f t="shared" ref="AN141" si="2455">IF(AN142=0,0,AM141+1)</f>
        <v>0</v>
      </c>
      <c r="AO141" s="196">
        <f t="shared" ref="AO141" si="2456">IF(AO142=0,0,AN141+1)</f>
        <v>0</v>
      </c>
      <c r="AP141" s="196">
        <f t="shared" ref="AP141" si="2457">IF(AP142=0,0,AO141+1)</f>
        <v>0</v>
      </c>
      <c r="AQ141" s="196">
        <f t="shared" ref="AQ141" si="2458">IF(AQ142=0,0,AP141+1)</f>
        <v>0</v>
      </c>
      <c r="AR141" s="196">
        <f t="shared" ref="AR141" si="2459">IF(AR142=0,0,AQ141+1)</f>
        <v>0</v>
      </c>
      <c r="AS141" s="196">
        <f t="shared" ref="AS141" si="2460">IF(AS142=0,0,AR141+1)</f>
        <v>0</v>
      </c>
      <c r="AT141" s="196">
        <f t="shared" ref="AT141" si="2461">IF(AT142=0,0,AS141+1)</f>
        <v>0</v>
      </c>
      <c r="AU141" s="196">
        <f t="shared" ref="AU141" si="2462">IF(AU142=0,0,AT141+1)</f>
        <v>0</v>
      </c>
      <c r="AV141" s="196">
        <f t="shared" ref="AV141" si="2463">IF(AV142=0,0,AU141+1)</f>
        <v>0</v>
      </c>
      <c r="AW141" s="196">
        <f t="shared" ref="AW141" si="2464">IF(AW142=0,0,AV141+1)</f>
        <v>0</v>
      </c>
      <c r="AX141" s="196">
        <f t="shared" ref="AX141" si="2465">IF(AX142=0,0,AW141+1)</f>
        <v>0</v>
      </c>
      <c r="AY141" s="196">
        <f t="shared" ref="AY141" si="2466">IF(AY142=0,0,AX141+1)</f>
        <v>0</v>
      </c>
      <c r="AZ141" s="196">
        <f t="shared" ref="AZ141" si="2467">IF(AZ142=0,0,AY141+1)</f>
        <v>0</v>
      </c>
      <c r="BA141" s="196">
        <f t="shared" ref="BA141" si="2468">IF(BA142=0,0,AZ141+1)</f>
        <v>0</v>
      </c>
      <c r="BB141" s="196">
        <f t="shared" ref="BB141" si="2469">IF(BB142=0,0,BA141+1)</f>
        <v>0</v>
      </c>
      <c r="BC141" s="196">
        <f t="shared" ref="BC141" si="2470">IF(BC142=0,0,BB141+1)</f>
        <v>0</v>
      </c>
      <c r="BD141" s="196">
        <f t="shared" ref="BD141" si="2471">IF(BD142=0,0,BC141+1)</f>
        <v>0</v>
      </c>
      <c r="BE141" s="196">
        <f t="shared" ref="BE141" si="2472">IF(BE142=0,0,BD141+1)</f>
        <v>0</v>
      </c>
      <c r="BF141" s="196">
        <f t="shared" ref="BF141" si="2473">IF(BF142=0,0,BE141+1)</f>
        <v>0</v>
      </c>
      <c r="BG141" s="196">
        <f t="shared" ref="BG141" si="2474">IF(BG142=0,0,BF141+1)</f>
        <v>0</v>
      </c>
      <c r="BH141" s="196">
        <f t="shared" ref="BH141" si="2475">IF(BH142=0,0,BG141+1)</f>
        <v>0</v>
      </c>
      <c r="BI141" s="196">
        <f t="shared" ref="BI141" si="2476">IF(BI142=0,0,BH141+1)</f>
        <v>0</v>
      </c>
      <c r="BJ141" s="196">
        <f t="shared" ref="BJ141" si="2477">IF(BJ142=0,0,BI141+1)</f>
        <v>0</v>
      </c>
      <c r="BK141" s="196">
        <f t="shared" ref="BK141" si="2478">IF(BK142=0,0,BJ141+1)</f>
        <v>0</v>
      </c>
    </row>
    <row r="142" spans="1:63" ht="7.8" x14ac:dyDescent="0.15">
      <c r="A142" s="216" t="s">
        <v>178</v>
      </c>
      <c r="B142" s="192"/>
      <c r="C142" s="192"/>
      <c r="D142" s="192"/>
      <c r="E142" s="192"/>
      <c r="F142" s="192"/>
      <c r="G142" s="192"/>
      <c r="H142" s="192"/>
      <c r="I142" s="192"/>
      <c r="J142" s="192"/>
      <c r="K142" s="192"/>
      <c r="L142" s="192"/>
      <c r="M142" s="192"/>
      <c r="N142" s="192"/>
      <c r="O142" s="192"/>
      <c r="P142" s="192"/>
      <c r="Q142" s="192"/>
      <c r="R142" s="192"/>
      <c r="S142" s="217">
        <f>LoanSize</f>
        <v>25</v>
      </c>
      <c r="T142" s="215">
        <f>IF(S142-S145&lt;=0.1,0,S142-S145)</f>
        <v>23.79027212253634</v>
      </c>
      <c r="U142" s="215">
        <f t="shared" ref="U142:BK142" si="2479">IF(T142-T145&lt;=0.1,0,T142-T145)</f>
        <v>22.56189427362845</v>
      </c>
      <c r="V142" s="215">
        <f t="shared" si="2479"/>
        <v>21.314578932883229</v>
      </c>
      <c r="W142" s="215">
        <f t="shared" si="2479"/>
        <v>20.048034147301522</v>
      </c>
      <c r="X142" s="215">
        <f t="shared" si="2479"/>
        <v>18.761963462942095</v>
      </c>
      <c r="Y142" s="215">
        <f t="shared" si="2479"/>
        <v>17.456065855532128</v>
      </c>
      <c r="Z142" s="215">
        <f t="shared" si="2479"/>
        <v>16.130035660007923</v>
      </c>
      <c r="AA142" s="215">
        <f t="shared" si="2479"/>
        <v>14.783562498969387</v>
      </c>
      <c r="AB142" s="215">
        <f t="shared" si="2479"/>
        <v>13.416331210031506</v>
      </c>
      <c r="AC142" s="215">
        <f t="shared" si="2479"/>
        <v>12.028021772055833</v>
      </c>
      <c r="AD142" s="215">
        <f t="shared" si="2479"/>
        <v>10.618309230244702</v>
      </c>
      <c r="AE142" s="215">
        <f t="shared" si="2479"/>
        <v>9.1868636200806488</v>
      </c>
      <c r="AF142" s="215">
        <f t="shared" si="2479"/>
        <v>7.7333498900932334</v>
      </c>
      <c r="AG142" s="215">
        <f t="shared" si="2479"/>
        <v>6.2574278234351794</v>
      </c>
      <c r="AH142" s="215">
        <f t="shared" si="2479"/>
        <v>4.7587519582494799</v>
      </c>
      <c r="AI142" s="215">
        <f t="shared" si="2479"/>
        <v>3.2369715068088345</v>
      </c>
      <c r="AJ142" s="215">
        <f t="shared" si="2479"/>
        <v>1.6917302734084789</v>
      </c>
      <c r="AK142" s="215">
        <f t="shared" si="2479"/>
        <v>0.12266657099320111</v>
      </c>
      <c r="AL142" s="215">
        <f t="shared" si="2479"/>
        <v>0</v>
      </c>
      <c r="AM142" s="215">
        <f t="shared" si="2479"/>
        <v>0</v>
      </c>
      <c r="AN142" s="215">
        <f t="shared" si="2479"/>
        <v>0</v>
      </c>
      <c r="AO142" s="215">
        <f t="shared" si="2479"/>
        <v>0</v>
      </c>
      <c r="AP142" s="215">
        <f t="shared" si="2479"/>
        <v>0</v>
      </c>
      <c r="AQ142" s="215">
        <f t="shared" si="2479"/>
        <v>0</v>
      </c>
      <c r="AR142" s="215">
        <f t="shared" si="2479"/>
        <v>0</v>
      </c>
      <c r="AS142" s="215">
        <f t="shared" si="2479"/>
        <v>0</v>
      </c>
      <c r="AT142" s="215">
        <f t="shared" si="2479"/>
        <v>0</v>
      </c>
      <c r="AU142" s="215">
        <f t="shared" si="2479"/>
        <v>0</v>
      </c>
      <c r="AV142" s="215">
        <f t="shared" si="2479"/>
        <v>0</v>
      </c>
      <c r="AW142" s="215">
        <f t="shared" si="2479"/>
        <v>0</v>
      </c>
      <c r="AX142" s="215">
        <f t="shared" si="2479"/>
        <v>0</v>
      </c>
      <c r="AY142" s="215">
        <f t="shared" si="2479"/>
        <v>0</v>
      </c>
      <c r="AZ142" s="215">
        <f t="shared" si="2479"/>
        <v>0</v>
      </c>
      <c r="BA142" s="215">
        <f t="shared" si="2479"/>
        <v>0</v>
      </c>
      <c r="BB142" s="215">
        <f t="shared" si="2479"/>
        <v>0</v>
      </c>
      <c r="BC142" s="215">
        <f t="shared" si="2479"/>
        <v>0</v>
      </c>
      <c r="BD142" s="215">
        <f t="shared" si="2479"/>
        <v>0</v>
      </c>
      <c r="BE142" s="215">
        <f t="shared" si="2479"/>
        <v>0</v>
      </c>
      <c r="BF142" s="215">
        <f t="shared" si="2479"/>
        <v>0</v>
      </c>
      <c r="BG142" s="215">
        <f t="shared" si="2479"/>
        <v>0</v>
      </c>
      <c r="BH142" s="215">
        <f t="shared" si="2479"/>
        <v>0</v>
      </c>
      <c r="BI142" s="215">
        <f t="shared" si="2479"/>
        <v>0</v>
      </c>
      <c r="BJ142" s="215">
        <f t="shared" si="2479"/>
        <v>0</v>
      </c>
      <c r="BK142" s="215">
        <f t="shared" si="2479"/>
        <v>0</v>
      </c>
    </row>
    <row r="143" spans="1:63" ht="7.8" x14ac:dyDescent="0.15">
      <c r="A143" s="218" t="s">
        <v>179</v>
      </c>
      <c r="B143" s="192"/>
      <c r="C143" s="192"/>
      <c r="D143" s="192"/>
      <c r="E143" s="192"/>
      <c r="F143" s="192"/>
      <c r="G143" s="192"/>
      <c r="H143" s="192"/>
      <c r="I143" s="192"/>
      <c r="J143" s="192"/>
      <c r="K143" s="192"/>
      <c r="L143" s="192"/>
      <c r="M143" s="192"/>
      <c r="N143" s="192"/>
      <c r="O143" s="192"/>
      <c r="P143" s="192"/>
      <c r="Q143" s="192"/>
      <c r="R143" s="192"/>
      <c r="S143" s="219">
        <f>IF(S142=0,0,PMT(INDEX(LoanCohortRate,1),LoanTerm, -LoanSize))</f>
        <v>1.5951445441303251</v>
      </c>
      <c r="T143" s="222">
        <f t="shared" ref="T143" si="2480">IF(T142=0,0, S143)</f>
        <v>1.5951445441303251</v>
      </c>
      <c r="U143" s="222">
        <f t="shared" ref="U143" si="2481">IF(U142=0,0, T143)</f>
        <v>1.5951445441303251</v>
      </c>
      <c r="V143" s="222">
        <f t="shared" ref="V143" si="2482">IF(V142=0,0, U143)</f>
        <v>1.5951445441303251</v>
      </c>
      <c r="W143" s="222">
        <f t="shared" ref="W143" si="2483">IF(W142=0,0, V143)</f>
        <v>1.5951445441303251</v>
      </c>
      <c r="X143" s="222">
        <f t="shared" ref="X143" si="2484">IF(X142=0,0, W143)</f>
        <v>1.5951445441303251</v>
      </c>
      <c r="Y143" s="222">
        <f t="shared" ref="Y143" si="2485">IF(Y142=0,0, X143)</f>
        <v>1.5951445441303251</v>
      </c>
      <c r="Z143" s="222">
        <f t="shared" ref="Z143" si="2486">IF(Z142=0,0, Y143)</f>
        <v>1.5951445441303251</v>
      </c>
      <c r="AA143" s="222">
        <f t="shared" ref="AA143" si="2487">IF(AA142=0,0, Z143)</f>
        <v>1.5951445441303251</v>
      </c>
      <c r="AB143" s="222">
        <f t="shared" ref="AB143" si="2488">IF(AB142=0,0, AA143)</f>
        <v>1.5951445441303251</v>
      </c>
      <c r="AC143" s="222">
        <f t="shared" ref="AC143" si="2489">IF(AC142=0,0, AB143)</f>
        <v>1.5951445441303251</v>
      </c>
      <c r="AD143" s="222">
        <f t="shared" ref="AD143" si="2490">IF(AD142=0,0, AC143)</f>
        <v>1.5951445441303251</v>
      </c>
      <c r="AE143" s="222">
        <f t="shared" ref="AE143" si="2491">IF(AE142=0,0, AD143)</f>
        <v>1.5951445441303251</v>
      </c>
      <c r="AF143" s="222">
        <f t="shared" ref="AF143" si="2492">IF(AF142=0,0, AE143)</f>
        <v>1.5951445441303251</v>
      </c>
      <c r="AG143" s="222">
        <f t="shared" ref="AG143" si="2493">IF(AG142=0,0, AF143)</f>
        <v>1.5951445441303251</v>
      </c>
      <c r="AH143" s="222">
        <f t="shared" ref="AH143" si="2494">IF(AH142=0,0, AG143)</f>
        <v>1.5951445441303251</v>
      </c>
      <c r="AI143" s="222">
        <f t="shared" ref="AI143" si="2495">IF(AI142=0,0, AH143)</f>
        <v>1.5951445441303251</v>
      </c>
      <c r="AJ143" s="222">
        <f t="shared" ref="AJ143" si="2496">IF(AJ142=0,0, AI143)</f>
        <v>1.5951445441303251</v>
      </c>
      <c r="AK143" s="222">
        <f t="shared" ref="AK143" si="2497">IF(AK142=0,0, AJ143)</f>
        <v>1.5951445441303251</v>
      </c>
      <c r="AL143" s="222">
        <f t="shared" ref="AL143" si="2498">IF(AL142=0,0, AK143)</f>
        <v>0</v>
      </c>
      <c r="AM143" s="222">
        <f t="shared" ref="AM143" si="2499">IF(AM142=0,0, AL143)</f>
        <v>0</v>
      </c>
      <c r="AN143" s="222">
        <f t="shared" ref="AN143" si="2500">IF(AN142=0,0, AM143)</f>
        <v>0</v>
      </c>
      <c r="AO143" s="222">
        <f t="shared" ref="AO143" si="2501">IF(AO142=0,0, AN143)</f>
        <v>0</v>
      </c>
      <c r="AP143" s="222">
        <f t="shared" ref="AP143" si="2502">IF(AP142=0,0, AO143)</f>
        <v>0</v>
      </c>
      <c r="AQ143" s="222">
        <f t="shared" ref="AQ143" si="2503">IF(AQ142=0,0, AP143)</f>
        <v>0</v>
      </c>
      <c r="AR143" s="222">
        <f t="shared" ref="AR143" si="2504">IF(AR142=0,0, AQ143)</f>
        <v>0</v>
      </c>
      <c r="AS143" s="222">
        <f t="shared" ref="AS143" si="2505">IF(AS142=0,0, AR143)</f>
        <v>0</v>
      </c>
      <c r="AT143" s="222">
        <f t="shared" ref="AT143" si="2506">IF(AT142=0,0, AS143)</f>
        <v>0</v>
      </c>
      <c r="AU143" s="222">
        <f t="shared" ref="AU143" si="2507">IF(AU142=0,0, AT143)</f>
        <v>0</v>
      </c>
      <c r="AV143" s="222">
        <f t="shared" ref="AV143" si="2508">IF(AV142=0,0, AU143)</f>
        <v>0</v>
      </c>
      <c r="AW143" s="222">
        <f t="shared" ref="AW143" si="2509">IF(AW142=0,0, AV143)</f>
        <v>0</v>
      </c>
      <c r="AX143" s="222">
        <f t="shared" ref="AX143" si="2510">IF(AX142=0,0, AW143)</f>
        <v>0</v>
      </c>
      <c r="AY143" s="222">
        <f t="shared" ref="AY143" si="2511">IF(AY142=0,0, AX143)</f>
        <v>0</v>
      </c>
      <c r="AZ143" s="222">
        <f t="shared" ref="AZ143" si="2512">IF(AZ142=0,0, AY143)</f>
        <v>0</v>
      </c>
      <c r="BA143" s="222">
        <f t="shared" ref="BA143" si="2513">IF(BA142=0,0, AZ143)</f>
        <v>0</v>
      </c>
      <c r="BB143" s="222">
        <f t="shared" ref="BB143" si="2514">IF(BB142=0,0, BA143)</f>
        <v>0</v>
      </c>
      <c r="BC143" s="222">
        <f t="shared" ref="BC143" si="2515">IF(BC142=0,0, BB143)</f>
        <v>0</v>
      </c>
      <c r="BD143" s="222">
        <f t="shared" ref="BD143" si="2516">IF(BD142=0,0, BC143)</f>
        <v>0</v>
      </c>
      <c r="BE143" s="222">
        <f t="shared" ref="BE143" si="2517">IF(BE142=0,0, BD143)</f>
        <v>0</v>
      </c>
      <c r="BF143" s="222">
        <f t="shared" ref="BF143" si="2518">IF(BF142=0,0, BE143)</f>
        <v>0</v>
      </c>
      <c r="BG143" s="222">
        <f t="shared" ref="BG143" si="2519">IF(BG142=0,0, BF143)</f>
        <v>0</v>
      </c>
      <c r="BH143" s="222">
        <f t="shared" ref="BH143" si="2520">IF(BH142=0,0, BG143)</f>
        <v>0</v>
      </c>
      <c r="BI143" s="222">
        <f t="shared" ref="BI143" si="2521">IF(BI142=0,0, BH143)</f>
        <v>0</v>
      </c>
      <c r="BJ143" s="222">
        <f t="shared" ref="BJ143" si="2522">IF(BJ142=0,0, BI143)</f>
        <v>0</v>
      </c>
      <c r="BK143" s="222">
        <f t="shared" ref="BK143" si="2523">IF(BK142=0,0, BJ143)</f>
        <v>0</v>
      </c>
    </row>
    <row r="144" spans="1:63" ht="7.8" x14ac:dyDescent="0.15">
      <c r="A144" s="218" t="s">
        <v>180</v>
      </c>
      <c r="B144" s="192"/>
      <c r="C144" s="192"/>
      <c r="D144" s="192"/>
      <c r="E144" s="192"/>
      <c r="F144" s="192"/>
      <c r="G144" s="192"/>
      <c r="H144" s="192"/>
      <c r="I144" s="192"/>
      <c r="J144" s="192"/>
      <c r="K144" s="192"/>
      <c r="L144" s="192"/>
      <c r="M144" s="192"/>
      <c r="N144" s="192"/>
      <c r="O144" s="192"/>
      <c r="P144" s="192"/>
      <c r="Q144" s="192"/>
      <c r="R144" s="192"/>
      <c r="S144" s="220" cm="1">
        <f t="array" ref="S144">S142*INDEX(LoanCohortRate,$A141)</f>
        <v>0.38541666666666669</v>
      </c>
      <c r="T144" s="221" cm="1">
        <f t="array" ref="T144">T142*INDEX(LoanCohortRate,$A141)</f>
        <v>0.36676669522243527</v>
      </c>
      <c r="U144" s="221" cm="1">
        <f t="array" ref="U144">U142*INDEX(LoanCohortRate,$A141)</f>
        <v>0.34782920338510526</v>
      </c>
      <c r="V144" s="221" cm="1">
        <f t="array" ref="V144">V142*INDEX(LoanCohortRate,$A141)</f>
        <v>0.32859975854861645</v>
      </c>
      <c r="W144" s="221" cm="1">
        <f t="array" ref="W144">W142*INDEX(LoanCohortRate,$A141)</f>
        <v>0.30907385977089846</v>
      </c>
      <c r="X144" s="221" cm="1">
        <f t="array" ref="X144">X142*INDEX(LoanCohortRate,$A141)</f>
        <v>0.28924693672035728</v>
      </c>
      <c r="Y144" s="221" cm="1">
        <f t="array" ref="Y144">Y142*INDEX(LoanCohortRate,$A141)</f>
        <v>0.26911434860612032</v>
      </c>
      <c r="Z144" s="221" cm="1">
        <f t="array" ref="Z144">Z142*INDEX(LoanCohortRate,$A141)</f>
        <v>0.24867138309178882</v>
      </c>
      <c r="AA144" s="221" cm="1">
        <f t="array" ref="AA144">AA142*INDEX(LoanCohortRate,$A141)</f>
        <v>0.22791325519244471</v>
      </c>
      <c r="AB144" s="221" cm="1">
        <f t="array" ref="AB144">AB142*INDEX(LoanCohortRate,$A141)</f>
        <v>0.20683510615465239</v>
      </c>
      <c r="AC144" s="221" cm="1">
        <f t="array" ref="AC144">AC142*INDEX(LoanCohortRate,$A141)</f>
        <v>0.1854320023191941</v>
      </c>
      <c r="AD144" s="221" cm="1">
        <f t="array" ref="AD144">AD142*INDEX(LoanCohortRate,$A141)</f>
        <v>0.1636989339662725</v>
      </c>
      <c r="AE144" s="221" cm="1">
        <f t="array" ref="AE144">AE142*INDEX(LoanCohortRate,$A141)</f>
        <v>0.14163081414291001</v>
      </c>
      <c r="AF144" s="221" cm="1">
        <f t="array" ref="AF144">AF142*INDEX(LoanCohortRate,$A141)</f>
        <v>0.11922247747227069</v>
      </c>
      <c r="AG144" s="221" cm="1">
        <f t="array" ref="AG144">AG142*INDEX(LoanCohortRate,$A141)</f>
        <v>9.6468678944625685E-2</v>
      </c>
      <c r="AH144" s="221" cm="1">
        <f t="array" ref="AH144">AH142*INDEX(LoanCohortRate,$A141)</f>
        <v>7.3364092689679486E-2</v>
      </c>
      <c r="AI144" s="221" cm="1">
        <f t="array" ref="AI144">AI142*INDEX(LoanCohortRate,$A141)</f>
        <v>4.9903310729969536E-2</v>
      </c>
      <c r="AJ144" s="221" cm="1">
        <f t="array" ref="AJ144">AJ142*INDEX(LoanCohortRate,$A141)</f>
        <v>2.6080841715047383E-2</v>
      </c>
      <c r="AK144" s="221" cm="1">
        <f t="array" ref="AK144">AK142*INDEX(LoanCohortRate,$A141)</f>
        <v>1.8911096361451838E-3</v>
      </c>
      <c r="AL144" s="221" cm="1">
        <f t="array" ref="AL144">AL142*INDEX(LoanCohortRate,$A141)</f>
        <v>0</v>
      </c>
      <c r="AM144" s="221" cm="1">
        <f t="array" ref="AM144">AM142*INDEX(LoanCohortRate,$A141)</f>
        <v>0</v>
      </c>
      <c r="AN144" s="221" cm="1">
        <f t="array" ref="AN144">AN142*INDEX(LoanCohortRate,$A141)</f>
        <v>0</v>
      </c>
      <c r="AO144" s="221" cm="1">
        <f t="array" ref="AO144">AO142*INDEX(LoanCohortRate,$A141)</f>
        <v>0</v>
      </c>
      <c r="AP144" s="221" cm="1">
        <f t="array" ref="AP144">AP142*INDEX(LoanCohortRate,$A141)</f>
        <v>0</v>
      </c>
      <c r="AQ144" s="221" cm="1">
        <f t="array" ref="AQ144">AQ142*INDEX(LoanCohortRate,$A141)</f>
        <v>0</v>
      </c>
      <c r="AR144" s="221" cm="1">
        <f t="array" ref="AR144">AR142*INDEX(LoanCohortRate,$A141)</f>
        <v>0</v>
      </c>
      <c r="AS144" s="221" cm="1">
        <f t="array" ref="AS144">AS142*INDEX(LoanCohortRate,$A141)</f>
        <v>0</v>
      </c>
      <c r="AT144" s="221" cm="1">
        <f t="array" ref="AT144">AT142*INDEX(LoanCohortRate,$A141)</f>
        <v>0</v>
      </c>
      <c r="AU144" s="221" cm="1">
        <f t="array" ref="AU144">AU142*INDEX(LoanCohortRate,$A141)</f>
        <v>0</v>
      </c>
      <c r="AV144" s="221" cm="1">
        <f t="array" ref="AV144">AV142*INDEX(LoanCohortRate,$A141)</f>
        <v>0</v>
      </c>
      <c r="AW144" s="221" cm="1">
        <f t="array" ref="AW144">AW142*INDEX(LoanCohortRate,$A141)</f>
        <v>0</v>
      </c>
      <c r="AX144" s="221" cm="1">
        <f t="array" ref="AX144">AX142*INDEX(LoanCohortRate,$A141)</f>
        <v>0</v>
      </c>
      <c r="AY144" s="221" cm="1">
        <f t="array" ref="AY144">AY142*INDEX(LoanCohortRate,$A141)</f>
        <v>0</v>
      </c>
      <c r="AZ144" s="221" cm="1">
        <f t="array" ref="AZ144">AZ142*INDEX(LoanCohortRate,$A141)</f>
        <v>0</v>
      </c>
      <c r="BA144" s="221" cm="1">
        <f t="array" ref="BA144">BA142*INDEX(LoanCohortRate,$A141)</f>
        <v>0</v>
      </c>
      <c r="BB144" s="221" cm="1">
        <f t="array" ref="BB144">BB142*INDEX(LoanCohortRate,$A141)</f>
        <v>0</v>
      </c>
      <c r="BC144" s="221" cm="1">
        <f t="array" ref="BC144">BC142*INDEX(LoanCohortRate,$A141)</f>
        <v>0</v>
      </c>
      <c r="BD144" s="221" cm="1">
        <f t="array" ref="BD144">BD142*INDEX(LoanCohortRate,$A141)</f>
        <v>0</v>
      </c>
      <c r="BE144" s="221" cm="1">
        <f t="array" ref="BE144">BE142*INDEX(LoanCohortRate,$A141)</f>
        <v>0</v>
      </c>
      <c r="BF144" s="221" cm="1">
        <f t="array" ref="BF144">BF142*INDEX(LoanCohortRate,$A141)</f>
        <v>0</v>
      </c>
      <c r="BG144" s="221" cm="1">
        <f t="array" ref="BG144">BG142*INDEX(LoanCohortRate,$A141)</f>
        <v>0</v>
      </c>
      <c r="BH144" s="221" cm="1">
        <f t="array" ref="BH144">BH142*INDEX(LoanCohortRate,$A141)</f>
        <v>0</v>
      </c>
      <c r="BI144" s="221" cm="1">
        <f t="array" ref="BI144">BI142*INDEX(LoanCohortRate,$A141)</f>
        <v>0</v>
      </c>
      <c r="BJ144" s="221" cm="1">
        <f t="array" ref="BJ144">BJ142*INDEX(LoanCohortRate,$A141)</f>
        <v>0</v>
      </c>
      <c r="BK144" s="221" cm="1">
        <f t="array" ref="BK144">BK142*INDEX(LoanCohortRate,$A141)</f>
        <v>0</v>
      </c>
    </row>
    <row r="145" spans="1:63" ht="7.8" x14ac:dyDescent="0.15">
      <c r="A145" s="218" t="s">
        <v>177</v>
      </c>
      <c r="B145" s="192"/>
      <c r="C145" s="192"/>
      <c r="D145" s="192"/>
      <c r="E145" s="192"/>
      <c r="F145" s="192"/>
      <c r="G145" s="192"/>
      <c r="H145" s="192"/>
      <c r="I145" s="192"/>
      <c r="J145" s="192"/>
      <c r="K145" s="192"/>
      <c r="L145" s="192"/>
      <c r="M145" s="192"/>
      <c r="N145" s="192"/>
      <c r="O145" s="192"/>
      <c r="P145" s="192"/>
      <c r="Q145" s="192"/>
      <c r="R145" s="192"/>
      <c r="S145" s="219">
        <f>S143-S144</f>
        <v>1.2097278774636584</v>
      </c>
      <c r="T145" s="222">
        <f t="shared" ref="T145:BK145" si="2524">T143-T144</f>
        <v>1.2283778489078898</v>
      </c>
      <c r="U145" s="222">
        <f t="shared" si="2524"/>
        <v>1.24731534074522</v>
      </c>
      <c r="V145" s="222">
        <f t="shared" si="2524"/>
        <v>1.2665447855817087</v>
      </c>
      <c r="W145" s="222">
        <f t="shared" si="2524"/>
        <v>1.2860706843594267</v>
      </c>
      <c r="X145" s="222">
        <f t="shared" si="2524"/>
        <v>1.305897607409968</v>
      </c>
      <c r="Y145" s="222">
        <f t="shared" si="2524"/>
        <v>1.3260301955242049</v>
      </c>
      <c r="Z145" s="222">
        <f t="shared" si="2524"/>
        <v>1.3464731610385363</v>
      </c>
      <c r="AA145" s="222">
        <f t="shared" si="2524"/>
        <v>1.3672312889378804</v>
      </c>
      <c r="AB145" s="222">
        <f t="shared" si="2524"/>
        <v>1.3883094379756726</v>
      </c>
      <c r="AC145" s="222">
        <f t="shared" si="2524"/>
        <v>1.4097125418111309</v>
      </c>
      <c r="AD145" s="222">
        <f t="shared" si="2524"/>
        <v>1.4314456101640527</v>
      </c>
      <c r="AE145" s="222">
        <f t="shared" si="2524"/>
        <v>1.453513729987415</v>
      </c>
      <c r="AF145" s="222">
        <f t="shared" si="2524"/>
        <v>1.4759220666580544</v>
      </c>
      <c r="AG145" s="222">
        <f t="shared" si="2524"/>
        <v>1.4986758651856995</v>
      </c>
      <c r="AH145" s="222">
        <f t="shared" si="2524"/>
        <v>1.5217804514406457</v>
      </c>
      <c r="AI145" s="222">
        <f t="shared" si="2524"/>
        <v>1.5452412334003556</v>
      </c>
      <c r="AJ145" s="222">
        <f t="shared" si="2524"/>
        <v>1.5690637024152778</v>
      </c>
      <c r="AK145" s="222">
        <f t="shared" si="2524"/>
        <v>1.59325343449418</v>
      </c>
      <c r="AL145" s="222">
        <f t="shared" si="2524"/>
        <v>0</v>
      </c>
      <c r="AM145" s="222">
        <f t="shared" si="2524"/>
        <v>0</v>
      </c>
      <c r="AN145" s="222">
        <f t="shared" si="2524"/>
        <v>0</v>
      </c>
      <c r="AO145" s="222">
        <f t="shared" si="2524"/>
        <v>0</v>
      </c>
      <c r="AP145" s="222">
        <f t="shared" si="2524"/>
        <v>0</v>
      </c>
      <c r="AQ145" s="222">
        <f t="shared" si="2524"/>
        <v>0</v>
      </c>
      <c r="AR145" s="222">
        <f t="shared" si="2524"/>
        <v>0</v>
      </c>
      <c r="AS145" s="222">
        <f t="shared" si="2524"/>
        <v>0</v>
      </c>
      <c r="AT145" s="222">
        <f t="shared" si="2524"/>
        <v>0</v>
      </c>
      <c r="AU145" s="222">
        <f t="shared" si="2524"/>
        <v>0</v>
      </c>
      <c r="AV145" s="222">
        <f t="shared" si="2524"/>
        <v>0</v>
      </c>
      <c r="AW145" s="222">
        <f t="shared" si="2524"/>
        <v>0</v>
      </c>
      <c r="AX145" s="222">
        <f t="shared" si="2524"/>
        <v>0</v>
      </c>
      <c r="AY145" s="222">
        <f t="shared" si="2524"/>
        <v>0</v>
      </c>
      <c r="AZ145" s="222">
        <f t="shared" si="2524"/>
        <v>0</v>
      </c>
      <c r="BA145" s="222">
        <f t="shared" si="2524"/>
        <v>0</v>
      </c>
      <c r="BB145" s="222">
        <f t="shared" si="2524"/>
        <v>0</v>
      </c>
      <c r="BC145" s="222">
        <f t="shared" si="2524"/>
        <v>0</v>
      </c>
      <c r="BD145" s="222">
        <f t="shared" si="2524"/>
        <v>0</v>
      </c>
      <c r="BE145" s="222">
        <f t="shared" si="2524"/>
        <v>0</v>
      </c>
      <c r="BF145" s="222">
        <f t="shared" si="2524"/>
        <v>0</v>
      </c>
      <c r="BG145" s="222">
        <f t="shared" si="2524"/>
        <v>0</v>
      </c>
      <c r="BH145" s="222">
        <f t="shared" si="2524"/>
        <v>0</v>
      </c>
      <c r="BI145" s="222">
        <f t="shared" si="2524"/>
        <v>0</v>
      </c>
      <c r="BJ145" s="222">
        <f t="shared" si="2524"/>
        <v>0</v>
      </c>
      <c r="BK145" s="222">
        <f t="shared" si="2524"/>
        <v>0</v>
      </c>
    </row>
    <row r="146" spans="1:63" ht="7.8" x14ac:dyDescent="0.15">
      <c r="A146" s="205" t="s">
        <v>7</v>
      </c>
      <c r="B146" s="192"/>
      <c r="C146" s="192"/>
      <c r="D146" s="192"/>
      <c r="E146" s="192"/>
      <c r="F146" s="192"/>
      <c r="G146" s="192"/>
      <c r="H146" s="192"/>
      <c r="I146" s="192"/>
      <c r="J146" s="192"/>
      <c r="K146" s="192"/>
      <c r="L146" s="192"/>
      <c r="M146" s="192"/>
      <c r="N146" s="192"/>
      <c r="O146" s="192"/>
      <c r="P146" s="192"/>
      <c r="Q146" s="192"/>
      <c r="R146" s="192"/>
      <c r="S146" s="214" cm="1">
        <f t="array" ref="S146">INDEX(LoanOriginations,$A141)</f>
        <v>107.76827375880814</v>
      </c>
      <c r="T146" s="199">
        <f t="shared" ref="T146:BK146" si="2525">S146*(1-MitigateDelinquency*MitigateChargeoff)  *  IF(T141=0,0,IF(T141-102=LoanSaleHeld,0.6,1))</f>
        <v>107.66050548504933</v>
      </c>
      <c r="U146" s="199">
        <f t="shared" si="2525"/>
        <v>107.55284497956428</v>
      </c>
      <c r="V146" s="199">
        <f t="shared" si="2525"/>
        <v>107.44529213458472</v>
      </c>
      <c r="W146" s="199">
        <f t="shared" si="2525"/>
        <v>64.402708105470083</v>
      </c>
      <c r="X146" s="199">
        <f t="shared" si="2525"/>
        <v>64.338305397364607</v>
      </c>
      <c r="Y146" s="199">
        <f t="shared" si="2525"/>
        <v>64.273967091967236</v>
      </c>
      <c r="Z146" s="199">
        <f t="shared" si="2525"/>
        <v>64.209693124875272</v>
      </c>
      <c r="AA146" s="199">
        <f t="shared" si="2525"/>
        <v>64.145483431750392</v>
      </c>
      <c r="AB146" s="199">
        <f t="shared" si="2525"/>
        <v>64.081337948318648</v>
      </c>
      <c r="AC146" s="199">
        <f t="shared" si="2525"/>
        <v>64.017256610370325</v>
      </c>
      <c r="AD146" s="199">
        <f t="shared" si="2525"/>
        <v>63.953239353759955</v>
      </c>
      <c r="AE146" s="199">
        <f t="shared" si="2525"/>
        <v>63.889286114406197</v>
      </c>
      <c r="AF146" s="199">
        <f t="shared" si="2525"/>
        <v>63.825396828291794</v>
      </c>
      <c r="AG146" s="199">
        <f t="shared" si="2525"/>
        <v>63.761571431463501</v>
      </c>
      <c r="AH146" s="199">
        <f t="shared" si="2525"/>
        <v>63.697809860032038</v>
      </c>
      <c r="AI146" s="199">
        <f t="shared" si="2525"/>
        <v>63.634112050172007</v>
      </c>
      <c r="AJ146" s="199">
        <f t="shared" si="2525"/>
        <v>63.570477938121833</v>
      </c>
      <c r="AK146" s="199">
        <f t="shared" si="2525"/>
        <v>63.506907460183712</v>
      </c>
      <c r="AL146" s="199">
        <f t="shared" si="2525"/>
        <v>0</v>
      </c>
      <c r="AM146" s="199">
        <f t="shared" si="2525"/>
        <v>0</v>
      </c>
      <c r="AN146" s="199">
        <f t="shared" si="2525"/>
        <v>0</v>
      </c>
      <c r="AO146" s="199">
        <f t="shared" si="2525"/>
        <v>0</v>
      </c>
      <c r="AP146" s="199">
        <f t="shared" si="2525"/>
        <v>0</v>
      </c>
      <c r="AQ146" s="199">
        <f t="shared" si="2525"/>
        <v>0</v>
      </c>
      <c r="AR146" s="199">
        <f t="shared" si="2525"/>
        <v>0</v>
      </c>
      <c r="AS146" s="199">
        <f t="shared" si="2525"/>
        <v>0</v>
      </c>
      <c r="AT146" s="199">
        <f t="shared" si="2525"/>
        <v>0</v>
      </c>
      <c r="AU146" s="199">
        <f t="shared" si="2525"/>
        <v>0</v>
      </c>
      <c r="AV146" s="199">
        <f t="shared" si="2525"/>
        <v>0</v>
      </c>
      <c r="AW146" s="199">
        <f t="shared" si="2525"/>
        <v>0</v>
      </c>
      <c r="AX146" s="199">
        <f t="shared" si="2525"/>
        <v>0</v>
      </c>
      <c r="AY146" s="199">
        <f t="shared" si="2525"/>
        <v>0</v>
      </c>
      <c r="AZ146" s="199">
        <f t="shared" si="2525"/>
        <v>0</v>
      </c>
      <c r="BA146" s="199">
        <f t="shared" si="2525"/>
        <v>0</v>
      </c>
      <c r="BB146" s="199">
        <f t="shared" si="2525"/>
        <v>0</v>
      </c>
      <c r="BC146" s="199">
        <f t="shared" si="2525"/>
        <v>0</v>
      </c>
      <c r="BD146" s="199">
        <f t="shared" si="2525"/>
        <v>0</v>
      </c>
      <c r="BE146" s="199">
        <f t="shared" si="2525"/>
        <v>0</v>
      </c>
      <c r="BF146" s="199">
        <f t="shared" si="2525"/>
        <v>0</v>
      </c>
      <c r="BG146" s="199">
        <f t="shared" si="2525"/>
        <v>0</v>
      </c>
      <c r="BH146" s="199">
        <f t="shared" si="2525"/>
        <v>0</v>
      </c>
      <c r="BI146" s="199">
        <f t="shared" si="2525"/>
        <v>0</v>
      </c>
      <c r="BJ146" s="199">
        <f t="shared" si="2525"/>
        <v>0</v>
      </c>
      <c r="BK146" s="199">
        <f t="shared" si="2525"/>
        <v>0</v>
      </c>
    </row>
    <row r="147" spans="1:63" ht="7.8" x14ac:dyDescent="0.15">
      <c r="A147" s="207" t="s">
        <v>96</v>
      </c>
      <c r="B147" s="192"/>
      <c r="C147" s="192"/>
      <c r="D147" s="192"/>
      <c r="E147" s="192"/>
      <c r="F147" s="192"/>
      <c r="G147" s="192"/>
      <c r="H147" s="192"/>
      <c r="I147" s="192"/>
      <c r="J147" s="192"/>
      <c r="K147" s="192"/>
      <c r="L147" s="192"/>
      <c r="M147" s="192"/>
      <c r="N147" s="192"/>
      <c r="O147" s="192"/>
      <c r="P147" s="192"/>
      <c r="Q147" s="192"/>
      <c r="R147" s="192"/>
      <c r="S147" s="223">
        <f>S144*S146</f>
        <v>41.535688844540637</v>
      </c>
      <c r="T147" s="200">
        <f t="shared" ref="T147" si="2526">T144*T146</f>
        <v>39.486287802728405</v>
      </c>
      <c r="U147" s="200">
        <f t="shared" ref="U147" si="2527">U144*U146</f>
        <v>37.41002039104356</v>
      </c>
      <c r="V147" s="200">
        <f t="shared" ref="V147" si="2528">V144*V146</f>
        <v>35.306497052610098</v>
      </c>
      <c r="W147" s="200">
        <f t="shared" ref="W147" si="2529">W144*W146</f>
        <v>19.905193573856167</v>
      </c>
      <c r="X147" s="200">
        <f t="shared" ref="X147" si="2530">X144*X146</f>
        <v>18.609657749966541</v>
      </c>
      <c r="Y147" s="200">
        <f t="shared" ref="Y147" si="2531">Y144*Y146</f>
        <v>17.297046786285975</v>
      </c>
      <c r="Z147" s="200">
        <f t="shared" ref="Z147" si="2532">Z144*Z146</f>
        <v>15.967113197262059</v>
      </c>
      <c r="AA147" s="200">
        <f t="shared" ref="AA147" si="2533">AA144*AA146</f>
        <v>14.619605934823261</v>
      </c>
      <c r="AB147" s="200">
        <f t="shared" ref="AB147" si="2534">AB144*AB146</f>
        <v>13.254270337072642</v>
      </c>
      <c r="AC147" s="200">
        <f t="shared" ref="AC147" si="2535">AC144*AC146</f>
        <v>11.870848076242634</v>
      </c>
      <c r="AD147" s="200">
        <f t="shared" ref="AD147" si="2536">AD144*AD146</f>
        <v>10.46907710590037</v>
      </c>
      <c r="AE147" s="200">
        <f t="shared" ref="AE147" si="2537">AE144*AE146</f>
        <v>9.0486916073926658</v>
      </c>
      <c r="AF147" s="200">
        <f t="shared" ref="AF147" si="2538">AF144*AF146</f>
        <v>7.6094219355197552</v>
      </c>
      <c r="AG147" s="200">
        <f t="shared" ref="AG147" si="2539">AG144*AG146</f>
        <v>6.1509945634266696</v>
      </c>
      <c r="AH147" s="200">
        <f t="shared" ref="AH147" si="2540">AH144*AH146</f>
        <v>4.6731320267009702</v>
      </c>
      <c r="AI147" s="200">
        <f t="shared" ref="AI147" si="2541">AI144*AI146</f>
        <v>3.1755528666654325</v>
      </c>
      <c r="AJ147" s="200">
        <f t="shared" ref="AJ147" si="2542">AJ144*AJ146</f>
        <v>1.6579715728540672</v>
      </c>
      <c r="AK147" s="200">
        <f t="shared" ref="AK147" si="2543">AK144*AK146</f>
        <v>0.12009852465973388</v>
      </c>
      <c r="AL147" s="200">
        <f t="shared" ref="AL147" si="2544">AL144*AL146</f>
        <v>0</v>
      </c>
      <c r="AM147" s="200">
        <f t="shared" ref="AM147" si="2545">AM144*AM146</f>
        <v>0</v>
      </c>
      <c r="AN147" s="200">
        <f t="shared" ref="AN147" si="2546">AN144*AN146</f>
        <v>0</v>
      </c>
      <c r="AO147" s="200">
        <f t="shared" ref="AO147" si="2547">AO144*AO146</f>
        <v>0</v>
      </c>
      <c r="AP147" s="200">
        <f t="shared" ref="AP147" si="2548">AP144*AP146</f>
        <v>0</v>
      </c>
      <c r="AQ147" s="200">
        <f t="shared" ref="AQ147" si="2549">AQ144*AQ146</f>
        <v>0</v>
      </c>
      <c r="AR147" s="200">
        <f t="shared" ref="AR147" si="2550">AR144*AR146</f>
        <v>0</v>
      </c>
      <c r="AS147" s="200">
        <f t="shared" ref="AS147" si="2551">AS144*AS146</f>
        <v>0</v>
      </c>
      <c r="AT147" s="200">
        <f t="shared" ref="AT147" si="2552">AT144*AT146</f>
        <v>0</v>
      </c>
      <c r="AU147" s="200">
        <f t="shared" ref="AU147" si="2553">AU144*AU146</f>
        <v>0</v>
      </c>
      <c r="AV147" s="200">
        <f t="shared" ref="AV147" si="2554">AV144*AV146</f>
        <v>0</v>
      </c>
      <c r="AW147" s="200">
        <f t="shared" ref="AW147" si="2555">AW144*AW146</f>
        <v>0</v>
      </c>
      <c r="AX147" s="200">
        <f t="shared" ref="AX147" si="2556">AX144*AX146</f>
        <v>0</v>
      </c>
      <c r="AY147" s="200">
        <f t="shared" ref="AY147" si="2557">AY144*AY146</f>
        <v>0</v>
      </c>
      <c r="AZ147" s="200">
        <f t="shared" ref="AZ147" si="2558">AZ144*AZ146</f>
        <v>0</v>
      </c>
      <c r="BA147" s="200">
        <f t="shared" ref="BA147" si="2559">BA144*BA146</f>
        <v>0</v>
      </c>
      <c r="BB147" s="200">
        <f t="shared" ref="BB147" si="2560">BB144*BB146</f>
        <v>0</v>
      </c>
      <c r="BC147" s="200">
        <f t="shared" ref="BC147" si="2561">BC144*BC146</f>
        <v>0</v>
      </c>
      <c r="BD147" s="200">
        <f t="shared" ref="BD147" si="2562">BD144*BD146</f>
        <v>0</v>
      </c>
      <c r="BE147" s="200">
        <f t="shared" ref="BE147" si="2563">BE144*BE146</f>
        <v>0</v>
      </c>
      <c r="BF147" s="200">
        <f t="shared" ref="BF147" si="2564">BF144*BF146</f>
        <v>0</v>
      </c>
      <c r="BG147" s="200">
        <f t="shared" ref="BG147" si="2565">BG144*BG146</f>
        <v>0</v>
      </c>
      <c r="BH147" s="200">
        <f t="shared" ref="BH147" si="2566">BH144*BH146</f>
        <v>0</v>
      </c>
      <c r="BI147" s="200">
        <f t="shared" ref="BI147" si="2567">BI144*BI146</f>
        <v>0</v>
      </c>
      <c r="BJ147" s="200">
        <f t="shared" ref="BJ147" si="2568">BJ144*BJ146</f>
        <v>0</v>
      </c>
      <c r="BK147" s="200">
        <f t="shared" ref="BK147" si="2569">BK144*BK146</f>
        <v>0</v>
      </c>
    </row>
    <row r="148" spans="1:63" ht="7.8" x14ac:dyDescent="0.15">
      <c r="A148" s="206" t="s">
        <v>97</v>
      </c>
      <c r="B148" s="192"/>
      <c r="C148" s="192"/>
      <c r="D148" s="192"/>
      <c r="E148" s="192"/>
      <c r="F148" s="192"/>
      <c r="G148" s="192"/>
      <c r="H148" s="192"/>
      <c r="I148" s="192"/>
      <c r="J148" s="192"/>
      <c r="K148" s="192"/>
      <c r="L148" s="192"/>
      <c r="M148" s="192"/>
      <c r="N148" s="192"/>
      <c r="O148" s="192"/>
      <c r="P148" s="192"/>
      <c r="Q148" s="192"/>
      <c r="R148" s="192"/>
      <c r="S148" s="223">
        <f>S145*S146</f>
        <v>130.37028507216544</v>
      </c>
      <c r="T148" s="200">
        <f>T145*T146</f>
        <v>132.24778014006097</v>
      </c>
      <c r="U148" s="200">
        <f t="shared" ref="U148:BK148" si="2570">U145*U146</f>
        <v>134.15231348380306</v>
      </c>
      <c r="V148" s="200">
        <f t="shared" si="2570"/>
        <v>136.08427448836164</v>
      </c>
      <c r="W148" s="200">
        <f t="shared" si="2570"/>
        <v>82.826434887802307</v>
      </c>
      <c r="X148" s="200">
        <f t="shared" si="2570"/>
        <v>84.019239083230275</v>
      </c>
      <c r="Y148" s="200">
        <f t="shared" si="2570"/>
        <v>85.22922115007762</v>
      </c>
      <c r="Z148" s="200">
        <f t="shared" si="2570"/>
        <v>86.456628471165175</v>
      </c>
      <c r="AA148" s="200">
        <f t="shared" si="2570"/>
        <v>87.701711991935539</v>
      </c>
      <c r="AB148" s="200">
        <f t="shared" si="2570"/>
        <v>88.964726271759403</v>
      </c>
      <c r="AC148" s="200">
        <f t="shared" si="2570"/>
        <v>90.245929535980579</v>
      </c>
      <c r="AD148" s="200">
        <f t="shared" si="2570"/>
        <v>91.545583728710625</v>
      </c>
      <c r="AE148" s="200">
        <f t="shared" si="2570"/>
        <v>92.863954566383711</v>
      </c>
      <c r="AF148" s="200">
        <f t="shared" si="2570"/>
        <v>94.20131159208286</v>
      </c>
      <c r="AG148" s="200">
        <f t="shared" si="2570"/>
        <v>95.557928230648344</v>
      </c>
      <c r="AH148" s="200">
        <f t="shared" si="2570"/>
        <v>96.934081844579964</v>
      </c>
      <c r="AI148" s="200">
        <f t="shared" si="2570"/>
        <v>98.330053790744216</v>
      </c>
      <c r="AJ148" s="200">
        <f t="shared" si="2570"/>
        <v>99.74612947789818</v>
      </c>
      <c r="AK148" s="200">
        <f t="shared" si="2570"/>
        <v>101.18259842504176</v>
      </c>
      <c r="AL148" s="200">
        <f t="shared" si="2570"/>
        <v>0</v>
      </c>
      <c r="AM148" s="200">
        <f t="shared" si="2570"/>
        <v>0</v>
      </c>
      <c r="AN148" s="200">
        <f t="shared" si="2570"/>
        <v>0</v>
      </c>
      <c r="AO148" s="200">
        <f t="shared" si="2570"/>
        <v>0</v>
      </c>
      <c r="AP148" s="200">
        <f t="shared" si="2570"/>
        <v>0</v>
      </c>
      <c r="AQ148" s="200">
        <f t="shared" si="2570"/>
        <v>0</v>
      </c>
      <c r="AR148" s="200">
        <f t="shared" si="2570"/>
        <v>0</v>
      </c>
      <c r="AS148" s="200">
        <f t="shared" si="2570"/>
        <v>0</v>
      </c>
      <c r="AT148" s="200">
        <f t="shared" si="2570"/>
        <v>0</v>
      </c>
      <c r="AU148" s="200">
        <f t="shared" si="2570"/>
        <v>0</v>
      </c>
      <c r="AV148" s="200">
        <f t="shared" si="2570"/>
        <v>0</v>
      </c>
      <c r="AW148" s="200">
        <f t="shared" si="2570"/>
        <v>0</v>
      </c>
      <c r="AX148" s="200">
        <f t="shared" si="2570"/>
        <v>0</v>
      </c>
      <c r="AY148" s="200">
        <f t="shared" si="2570"/>
        <v>0</v>
      </c>
      <c r="AZ148" s="200">
        <f t="shared" si="2570"/>
        <v>0</v>
      </c>
      <c r="BA148" s="200">
        <f t="shared" si="2570"/>
        <v>0</v>
      </c>
      <c r="BB148" s="200">
        <f t="shared" si="2570"/>
        <v>0</v>
      </c>
      <c r="BC148" s="200">
        <f t="shared" si="2570"/>
        <v>0</v>
      </c>
      <c r="BD148" s="200">
        <f t="shared" si="2570"/>
        <v>0</v>
      </c>
      <c r="BE148" s="200">
        <f t="shared" si="2570"/>
        <v>0</v>
      </c>
      <c r="BF148" s="200">
        <f t="shared" si="2570"/>
        <v>0</v>
      </c>
      <c r="BG148" s="200">
        <f t="shared" si="2570"/>
        <v>0</v>
      </c>
      <c r="BH148" s="200">
        <f t="shared" si="2570"/>
        <v>0</v>
      </c>
      <c r="BI148" s="200">
        <f t="shared" si="2570"/>
        <v>0</v>
      </c>
      <c r="BJ148" s="200">
        <f t="shared" si="2570"/>
        <v>0</v>
      </c>
      <c r="BK148" s="200">
        <f t="shared" si="2570"/>
        <v>0</v>
      </c>
    </row>
    <row r="149" spans="1:63" ht="7.8" x14ac:dyDescent="0.15">
      <c r="A149" s="208" t="s">
        <v>203</v>
      </c>
      <c r="B149" s="192"/>
      <c r="C149" s="192"/>
      <c r="D149" s="192"/>
      <c r="E149" s="192"/>
      <c r="F149" s="192"/>
      <c r="G149" s="192"/>
      <c r="H149" s="192"/>
      <c r="I149" s="192"/>
      <c r="J149" s="192"/>
      <c r="K149" s="192"/>
      <c r="L149" s="192"/>
      <c r="M149" s="192"/>
      <c r="N149" s="192"/>
      <c r="O149" s="192"/>
      <c r="P149" s="192"/>
      <c r="Q149" s="192"/>
      <c r="R149" s="192"/>
      <c r="S149" s="224">
        <f>IF(S141-101&lt;&gt;LoanSaleHeld,0,SUM($D148:S148)*LoanSalePercent)</f>
        <v>0</v>
      </c>
      <c r="T149" s="225">
        <f>IF(T141-101&lt;&gt;LoanSaleHeld,0,SUM($D148:T148)*LoanSalePercent)</f>
        <v>0</v>
      </c>
      <c r="U149" s="225">
        <f>IF(U141-101&lt;&gt;LoanSaleHeld,0,SUM($D148:U148)*LoanSalePercent)</f>
        <v>0</v>
      </c>
      <c r="V149" s="225">
        <f>IF(V141-101&lt;&gt;LoanSaleHeld,0,SUM($D148:V148)*LoanSalePercent)</f>
        <v>213.14186127375643</v>
      </c>
      <c r="W149" s="225">
        <f>IF(W141-101&lt;&gt;LoanSaleHeld,0,SUM($D148:W148)*LoanSalePercent)</f>
        <v>0</v>
      </c>
      <c r="X149" s="225">
        <f>IF(X141-101&lt;&gt;LoanSaleHeld,0,SUM($D148:X148)*LoanSalePercent)</f>
        <v>0</v>
      </c>
      <c r="Y149" s="225">
        <f>IF(Y141-101&lt;&gt;LoanSaleHeld,0,SUM($D148:Y148)*LoanSalePercent)</f>
        <v>0</v>
      </c>
      <c r="Z149" s="225">
        <f>IF(Z141-101&lt;&gt;LoanSaleHeld,0,SUM($D148:Z148)*LoanSalePercent)</f>
        <v>0</v>
      </c>
      <c r="AA149" s="225">
        <f>IF(AA141-101&lt;&gt;LoanSaleHeld,0,SUM($D148:AA148)*LoanSalePercent)</f>
        <v>0</v>
      </c>
      <c r="AB149" s="225">
        <f>IF(AB141-101&lt;&gt;LoanSaleHeld,0,SUM($D148:AB148)*LoanSalePercent)</f>
        <v>0</v>
      </c>
      <c r="AC149" s="225">
        <f>IF(AC141-101&lt;&gt;LoanSaleHeld,0,SUM($D148:AC148)*LoanSalePercent)</f>
        <v>0</v>
      </c>
      <c r="AD149" s="225">
        <f>IF(AD141-101&lt;&gt;LoanSaleHeld,0,SUM($D148:AD148)*LoanSalePercent)</f>
        <v>0</v>
      </c>
      <c r="AE149" s="225">
        <f>IF(AE141-101&lt;&gt;LoanSaleHeld,0,SUM($D148:AE148)*LoanSalePercent)</f>
        <v>0</v>
      </c>
      <c r="AF149" s="225">
        <f>IF(AF141-101&lt;&gt;LoanSaleHeld,0,SUM($D148:AF148)*LoanSalePercent)</f>
        <v>0</v>
      </c>
      <c r="AG149" s="225">
        <f>IF(AG141-101&lt;&gt;LoanSaleHeld,0,SUM($D148:AG148)*LoanSalePercent)</f>
        <v>0</v>
      </c>
      <c r="AH149" s="225">
        <f>IF(AH141-101&lt;&gt;LoanSaleHeld,0,SUM($D148:AH148)*LoanSalePercent)</f>
        <v>0</v>
      </c>
      <c r="AI149" s="225">
        <f>IF(AI141-101&lt;&gt;LoanSaleHeld,0,SUM($D148:AI148)*LoanSalePercent)</f>
        <v>0</v>
      </c>
      <c r="AJ149" s="225">
        <f>IF(AJ141-101&lt;&gt;LoanSaleHeld,0,SUM($D148:AJ148)*LoanSalePercent)</f>
        <v>0</v>
      </c>
      <c r="AK149" s="225">
        <f>IF(AK141-101&lt;&gt;LoanSaleHeld,0,SUM($D148:AK148)*LoanSalePercent)</f>
        <v>0</v>
      </c>
      <c r="AL149" s="225">
        <f>IF(AL141-101&lt;&gt;LoanSaleHeld,0,SUM($D148:AL148)*LoanSalePercent)</f>
        <v>0</v>
      </c>
      <c r="AM149" s="225">
        <f>IF(AM141-101&lt;&gt;LoanSaleHeld,0,SUM($D148:AM148)*LoanSalePercent)</f>
        <v>0</v>
      </c>
      <c r="AN149" s="225">
        <f>IF(AN141-101&lt;&gt;LoanSaleHeld,0,SUM($D148:AN148)*LoanSalePercent)</f>
        <v>0</v>
      </c>
      <c r="AO149" s="225">
        <f>IF(AO141-101&lt;&gt;LoanSaleHeld,0,SUM($D148:AO148)*LoanSalePercent)</f>
        <v>0</v>
      </c>
      <c r="AP149" s="225">
        <f>IF(AP141-101&lt;&gt;LoanSaleHeld,0,SUM($D148:AP148)*LoanSalePercent)</f>
        <v>0</v>
      </c>
      <c r="AQ149" s="225">
        <f>IF(AQ141-101&lt;&gt;LoanSaleHeld,0,SUM($D148:AQ148)*LoanSalePercent)</f>
        <v>0</v>
      </c>
      <c r="AR149" s="225">
        <f>IF(AR141-101&lt;&gt;LoanSaleHeld,0,SUM($D148:AR148)*LoanSalePercent)</f>
        <v>0</v>
      </c>
      <c r="AS149" s="225">
        <f>IF(AS141-101&lt;&gt;LoanSaleHeld,0,SUM($D148:AS148)*LoanSalePercent)</f>
        <v>0</v>
      </c>
      <c r="AT149" s="225">
        <f>IF(AT141-101&lt;&gt;LoanSaleHeld,0,SUM($D148:AT148)*LoanSalePercent)</f>
        <v>0</v>
      </c>
      <c r="AU149" s="225">
        <f>IF(AU141-101&lt;&gt;LoanSaleHeld,0,SUM($D148:AU148)*LoanSalePercent)</f>
        <v>0</v>
      </c>
      <c r="AV149" s="225">
        <f>IF(AV141-101&lt;&gt;LoanSaleHeld,0,SUM($D148:AV148)*LoanSalePercent)</f>
        <v>0</v>
      </c>
      <c r="AW149" s="225">
        <f>IF(AW141-101&lt;&gt;LoanSaleHeld,0,SUM($D148:AW148)*LoanSalePercent)</f>
        <v>0</v>
      </c>
      <c r="AX149" s="225">
        <f>IF(AX141-101&lt;&gt;LoanSaleHeld,0,SUM($D148:AX148)*LoanSalePercent)</f>
        <v>0</v>
      </c>
      <c r="AY149" s="225">
        <f>IF(AY141-101&lt;&gt;LoanSaleHeld,0,SUM($D148:AY148)*LoanSalePercent)</f>
        <v>0</v>
      </c>
      <c r="AZ149" s="225">
        <f>IF(AZ141-101&lt;&gt;LoanSaleHeld,0,SUM($D148:AZ148)*LoanSalePercent)</f>
        <v>0</v>
      </c>
      <c r="BA149" s="225">
        <f>IF(BA141-101&lt;&gt;LoanSaleHeld,0,SUM($D148:BA148)*LoanSalePercent)</f>
        <v>0</v>
      </c>
      <c r="BB149" s="225">
        <f>IF(BB141-101&lt;&gt;LoanSaleHeld,0,SUM($D148:BB148)*LoanSalePercent)</f>
        <v>0</v>
      </c>
      <c r="BC149" s="225">
        <f>IF(BC141-101&lt;&gt;LoanSaleHeld,0,SUM($D148:BC148)*LoanSalePercent)</f>
        <v>0</v>
      </c>
      <c r="BD149" s="225">
        <f>IF(BD141-101&lt;&gt;LoanSaleHeld,0,SUM($D148:BD148)*LoanSalePercent)</f>
        <v>0</v>
      </c>
      <c r="BE149" s="225">
        <f>IF(BE141-101&lt;&gt;LoanSaleHeld,0,SUM($D148:BE148)*LoanSalePercent)</f>
        <v>0</v>
      </c>
      <c r="BF149" s="225">
        <f>IF(BF141-101&lt;&gt;LoanSaleHeld,0,SUM($D148:BF148)*LoanSalePercent)</f>
        <v>0</v>
      </c>
      <c r="BG149" s="225">
        <f>IF(BG141-101&lt;&gt;LoanSaleHeld,0,SUM($D148:BG148)*LoanSalePercent)</f>
        <v>0</v>
      </c>
      <c r="BH149" s="225">
        <f>IF(BH141-101&lt;&gt;LoanSaleHeld,0,SUM($D148:BH148)*LoanSalePercent)</f>
        <v>0</v>
      </c>
      <c r="BI149" s="225">
        <f>IF(BI141-101&lt;&gt;LoanSaleHeld,0,SUM($D148:BI148)*LoanSalePercent)</f>
        <v>0</v>
      </c>
      <c r="BJ149" s="225">
        <f>IF(BJ141-101&lt;&gt;LoanSaleHeld,0,SUM($D148:BJ148)*LoanSalePercent)</f>
        <v>0</v>
      </c>
      <c r="BK149" s="225">
        <f>IF(BK141-101&lt;&gt;LoanSaleHeld,0,SUM($D148:BK148)*LoanSalePercent)</f>
        <v>0</v>
      </c>
    </row>
    <row r="150" spans="1:63" ht="7.8" x14ac:dyDescent="0.15">
      <c r="A150" s="204">
        <f t="shared" ref="A150" si="2571">A141+1</f>
        <v>17</v>
      </c>
      <c r="B150" s="192"/>
      <c r="C150" s="192"/>
      <c r="D150" s="192"/>
      <c r="E150" s="192"/>
      <c r="F150" s="192"/>
      <c r="G150" s="192"/>
      <c r="H150" s="192"/>
      <c r="I150" s="192"/>
      <c r="J150" s="192"/>
      <c r="K150" s="192"/>
      <c r="L150" s="192"/>
      <c r="M150" s="192"/>
      <c r="N150" s="192"/>
      <c r="O150" s="192"/>
      <c r="P150" s="192"/>
      <c r="Q150" s="192"/>
      <c r="R150" s="192"/>
      <c r="S150" s="192"/>
      <c r="T150" s="195">
        <v>101</v>
      </c>
      <c r="U150" s="196">
        <f t="shared" ref="U150" si="2572">IF(U151=0,0,T150+1)</f>
        <v>102</v>
      </c>
      <c r="V150" s="196">
        <f t="shared" ref="V150" si="2573">IF(V151=0,0,U150+1)</f>
        <v>103</v>
      </c>
      <c r="W150" s="196">
        <f t="shared" ref="W150" si="2574">IF(W151=0,0,V150+1)</f>
        <v>104</v>
      </c>
      <c r="X150" s="196">
        <f t="shared" ref="X150" si="2575">IF(X151=0,0,W150+1)</f>
        <v>105</v>
      </c>
      <c r="Y150" s="196">
        <f t="shared" ref="Y150" si="2576">IF(Y151=0,0,X150+1)</f>
        <v>106</v>
      </c>
      <c r="Z150" s="196">
        <f t="shared" ref="Z150" si="2577">IF(Z151=0,0,Y150+1)</f>
        <v>107</v>
      </c>
      <c r="AA150" s="196">
        <f t="shared" ref="AA150" si="2578">IF(AA151=0,0,Z150+1)</f>
        <v>108</v>
      </c>
      <c r="AB150" s="196">
        <f t="shared" ref="AB150" si="2579">IF(AB151=0,0,AA150+1)</f>
        <v>109</v>
      </c>
      <c r="AC150" s="196">
        <f t="shared" ref="AC150" si="2580">IF(AC151=0,0,AB150+1)</f>
        <v>110</v>
      </c>
      <c r="AD150" s="196">
        <f t="shared" ref="AD150" si="2581">IF(AD151=0,0,AC150+1)</f>
        <v>111</v>
      </c>
      <c r="AE150" s="196">
        <f t="shared" ref="AE150" si="2582">IF(AE151=0,0,AD150+1)</f>
        <v>112</v>
      </c>
      <c r="AF150" s="196">
        <f t="shared" ref="AF150" si="2583">IF(AF151=0,0,AE150+1)</f>
        <v>113</v>
      </c>
      <c r="AG150" s="196">
        <f t="shared" ref="AG150" si="2584">IF(AG151=0,0,AF150+1)</f>
        <v>114</v>
      </c>
      <c r="AH150" s="196">
        <f t="shared" ref="AH150" si="2585">IF(AH151=0,0,AG150+1)</f>
        <v>115</v>
      </c>
      <c r="AI150" s="196">
        <f t="shared" ref="AI150" si="2586">IF(AI151=0,0,AH150+1)</f>
        <v>116</v>
      </c>
      <c r="AJ150" s="196">
        <f t="shared" ref="AJ150" si="2587">IF(AJ151=0,0,AI150+1)</f>
        <v>117</v>
      </c>
      <c r="AK150" s="196">
        <f t="shared" ref="AK150" si="2588">IF(AK151=0,0,AJ150+1)</f>
        <v>118</v>
      </c>
      <c r="AL150" s="196">
        <f t="shared" ref="AL150" si="2589">IF(AL151=0,0,AK150+1)</f>
        <v>119</v>
      </c>
      <c r="AM150" s="196">
        <f t="shared" ref="AM150" si="2590">IF(AM151=0,0,AL150+1)</f>
        <v>0</v>
      </c>
      <c r="AN150" s="196">
        <f t="shared" ref="AN150" si="2591">IF(AN151=0,0,AM150+1)</f>
        <v>0</v>
      </c>
      <c r="AO150" s="196">
        <f t="shared" ref="AO150" si="2592">IF(AO151=0,0,AN150+1)</f>
        <v>0</v>
      </c>
      <c r="AP150" s="196">
        <f t="shared" ref="AP150" si="2593">IF(AP151=0,0,AO150+1)</f>
        <v>0</v>
      </c>
      <c r="AQ150" s="196">
        <f t="shared" ref="AQ150" si="2594">IF(AQ151=0,0,AP150+1)</f>
        <v>0</v>
      </c>
      <c r="AR150" s="196">
        <f t="shared" ref="AR150" si="2595">IF(AR151=0,0,AQ150+1)</f>
        <v>0</v>
      </c>
      <c r="AS150" s="196">
        <f t="shared" ref="AS150" si="2596">IF(AS151=0,0,AR150+1)</f>
        <v>0</v>
      </c>
      <c r="AT150" s="196">
        <f t="shared" ref="AT150" si="2597">IF(AT151=0,0,AS150+1)</f>
        <v>0</v>
      </c>
      <c r="AU150" s="196">
        <f t="shared" ref="AU150" si="2598">IF(AU151=0,0,AT150+1)</f>
        <v>0</v>
      </c>
      <c r="AV150" s="196">
        <f t="shared" ref="AV150" si="2599">IF(AV151=0,0,AU150+1)</f>
        <v>0</v>
      </c>
      <c r="AW150" s="196">
        <f t="shared" ref="AW150" si="2600">IF(AW151=0,0,AV150+1)</f>
        <v>0</v>
      </c>
      <c r="AX150" s="196">
        <f t="shared" ref="AX150" si="2601">IF(AX151=0,0,AW150+1)</f>
        <v>0</v>
      </c>
      <c r="AY150" s="196">
        <f t="shared" ref="AY150" si="2602">IF(AY151=0,0,AX150+1)</f>
        <v>0</v>
      </c>
      <c r="AZ150" s="196">
        <f t="shared" ref="AZ150" si="2603">IF(AZ151=0,0,AY150+1)</f>
        <v>0</v>
      </c>
      <c r="BA150" s="196">
        <f t="shared" ref="BA150" si="2604">IF(BA151=0,0,AZ150+1)</f>
        <v>0</v>
      </c>
      <c r="BB150" s="196">
        <f t="shared" ref="BB150" si="2605">IF(BB151=0,0,BA150+1)</f>
        <v>0</v>
      </c>
      <c r="BC150" s="196">
        <f t="shared" ref="BC150" si="2606">IF(BC151=0,0,BB150+1)</f>
        <v>0</v>
      </c>
      <c r="BD150" s="196">
        <f t="shared" ref="BD150" si="2607">IF(BD151=0,0,BC150+1)</f>
        <v>0</v>
      </c>
      <c r="BE150" s="196">
        <f t="shared" ref="BE150" si="2608">IF(BE151=0,0,BD150+1)</f>
        <v>0</v>
      </c>
      <c r="BF150" s="196">
        <f t="shared" ref="BF150" si="2609">IF(BF151=0,0,BE150+1)</f>
        <v>0</v>
      </c>
      <c r="BG150" s="196">
        <f t="shared" ref="BG150" si="2610">IF(BG151=0,0,BF150+1)</f>
        <v>0</v>
      </c>
      <c r="BH150" s="196">
        <f t="shared" ref="BH150" si="2611">IF(BH151=0,0,BG150+1)</f>
        <v>0</v>
      </c>
      <c r="BI150" s="196">
        <f t="shared" ref="BI150" si="2612">IF(BI151=0,0,BH150+1)</f>
        <v>0</v>
      </c>
      <c r="BJ150" s="196">
        <f t="shared" ref="BJ150" si="2613">IF(BJ151=0,0,BI150+1)</f>
        <v>0</v>
      </c>
      <c r="BK150" s="196">
        <f t="shared" ref="BK150" si="2614">IF(BK151=0,0,BJ150+1)</f>
        <v>0</v>
      </c>
    </row>
    <row r="151" spans="1:63" ht="7.8" x14ac:dyDescent="0.15">
      <c r="A151" s="216" t="s">
        <v>178</v>
      </c>
      <c r="B151" s="192"/>
      <c r="C151" s="192"/>
      <c r="D151" s="192"/>
      <c r="E151" s="192"/>
      <c r="F151" s="192"/>
      <c r="G151" s="192"/>
      <c r="H151" s="192"/>
      <c r="I151" s="192"/>
      <c r="J151" s="192"/>
      <c r="K151" s="192"/>
      <c r="L151" s="192"/>
      <c r="M151" s="192"/>
      <c r="N151" s="192"/>
      <c r="O151" s="192"/>
      <c r="P151" s="192"/>
      <c r="Q151" s="192"/>
      <c r="R151" s="192"/>
      <c r="S151" s="192"/>
      <c r="T151" s="217">
        <f>LoanSize</f>
        <v>25</v>
      </c>
      <c r="U151" s="215">
        <f>IF(T151-T154&lt;=0.1,0,T151-T154)</f>
        <v>23.79027212253634</v>
      </c>
      <c r="V151" s="215">
        <f t="shared" ref="V151:BK151" si="2615">IF(U151-U154&lt;=0.1,0,U151-U154)</f>
        <v>22.56189427362845</v>
      </c>
      <c r="W151" s="215">
        <f t="shared" si="2615"/>
        <v>21.314578932883229</v>
      </c>
      <c r="X151" s="215">
        <f t="shared" si="2615"/>
        <v>20.048034147301522</v>
      </c>
      <c r="Y151" s="215">
        <f t="shared" si="2615"/>
        <v>18.761963462942095</v>
      </c>
      <c r="Z151" s="215">
        <f t="shared" si="2615"/>
        <v>17.456065855532128</v>
      </c>
      <c r="AA151" s="215">
        <f t="shared" si="2615"/>
        <v>16.130035660007923</v>
      </c>
      <c r="AB151" s="215">
        <f t="shared" si="2615"/>
        <v>14.783562498969387</v>
      </c>
      <c r="AC151" s="215">
        <f t="shared" si="2615"/>
        <v>13.416331210031506</v>
      </c>
      <c r="AD151" s="215">
        <f t="shared" si="2615"/>
        <v>12.028021772055833</v>
      </c>
      <c r="AE151" s="215">
        <f t="shared" si="2615"/>
        <v>10.618309230244702</v>
      </c>
      <c r="AF151" s="215">
        <f t="shared" si="2615"/>
        <v>9.1868636200806488</v>
      </c>
      <c r="AG151" s="215">
        <f t="shared" si="2615"/>
        <v>7.7333498900932334</v>
      </c>
      <c r="AH151" s="215">
        <f t="shared" si="2615"/>
        <v>6.2574278234351794</v>
      </c>
      <c r="AI151" s="215">
        <f t="shared" si="2615"/>
        <v>4.7587519582494799</v>
      </c>
      <c r="AJ151" s="215">
        <f t="shared" si="2615"/>
        <v>3.2369715068088345</v>
      </c>
      <c r="AK151" s="215">
        <f t="shared" si="2615"/>
        <v>1.6917302734084789</v>
      </c>
      <c r="AL151" s="215">
        <f t="shared" si="2615"/>
        <v>0.12266657099320111</v>
      </c>
      <c r="AM151" s="215">
        <f t="shared" si="2615"/>
        <v>0</v>
      </c>
      <c r="AN151" s="215">
        <f t="shared" si="2615"/>
        <v>0</v>
      </c>
      <c r="AO151" s="215">
        <f t="shared" si="2615"/>
        <v>0</v>
      </c>
      <c r="AP151" s="215">
        <f t="shared" si="2615"/>
        <v>0</v>
      </c>
      <c r="AQ151" s="215">
        <f t="shared" si="2615"/>
        <v>0</v>
      </c>
      <c r="AR151" s="215">
        <f t="shared" si="2615"/>
        <v>0</v>
      </c>
      <c r="AS151" s="215">
        <f t="shared" si="2615"/>
        <v>0</v>
      </c>
      <c r="AT151" s="215">
        <f t="shared" si="2615"/>
        <v>0</v>
      </c>
      <c r="AU151" s="215">
        <f t="shared" si="2615"/>
        <v>0</v>
      </c>
      <c r="AV151" s="215">
        <f t="shared" si="2615"/>
        <v>0</v>
      </c>
      <c r="AW151" s="215">
        <f t="shared" si="2615"/>
        <v>0</v>
      </c>
      <c r="AX151" s="215">
        <f t="shared" si="2615"/>
        <v>0</v>
      </c>
      <c r="AY151" s="215">
        <f t="shared" si="2615"/>
        <v>0</v>
      </c>
      <c r="AZ151" s="215">
        <f t="shared" si="2615"/>
        <v>0</v>
      </c>
      <c r="BA151" s="215">
        <f t="shared" si="2615"/>
        <v>0</v>
      </c>
      <c r="BB151" s="215">
        <f t="shared" si="2615"/>
        <v>0</v>
      </c>
      <c r="BC151" s="215">
        <f t="shared" si="2615"/>
        <v>0</v>
      </c>
      <c r="BD151" s="215">
        <f t="shared" si="2615"/>
        <v>0</v>
      </c>
      <c r="BE151" s="215">
        <f t="shared" si="2615"/>
        <v>0</v>
      </c>
      <c r="BF151" s="215">
        <f t="shared" si="2615"/>
        <v>0</v>
      </c>
      <c r="BG151" s="215">
        <f t="shared" si="2615"/>
        <v>0</v>
      </c>
      <c r="BH151" s="215">
        <f t="shared" si="2615"/>
        <v>0</v>
      </c>
      <c r="BI151" s="215">
        <f t="shared" si="2615"/>
        <v>0</v>
      </c>
      <c r="BJ151" s="215">
        <f t="shared" si="2615"/>
        <v>0</v>
      </c>
      <c r="BK151" s="215">
        <f t="shared" si="2615"/>
        <v>0</v>
      </c>
    </row>
    <row r="152" spans="1:63" ht="7.8" x14ac:dyDescent="0.15">
      <c r="A152" s="218" t="s">
        <v>179</v>
      </c>
      <c r="B152" s="192"/>
      <c r="C152" s="192"/>
      <c r="D152" s="192"/>
      <c r="E152" s="192"/>
      <c r="F152" s="192"/>
      <c r="G152" s="192"/>
      <c r="H152" s="192"/>
      <c r="I152" s="192"/>
      <c r="J152" s="192"/>
      <c r="K152" s="192"/>
      <c r="L152" s="192"/>
      <c r="M152" s="192"/>
      <c r="N152" s="192"/>
      <c r="O152" s="192"/>
      <c r="P152" s="192"/>
      <c r="Q152" s="192"/>
      <c r="R152" s="192"/>
      <c r="S152" s="192"/>
      <c r="T152" s="219">
        <f>IF(T151=0,0,PMT(INDEX(LoanCohortRate,1),LoanTerm, -LoanSize))</f>
        <v>1.5951445441303251</v>
      </c>
      <c r="U152" s="222">
        <f t="shared" ref="U152" si="2616">IF(U151=0,0, T152)</f>
        <v>1.5951445441303251</v>
      </c>
      <c r="V152" s="222">
        <f t="shared" ref="V152" si="2617">IF(V151=0,0, U152)</f>
        <v>1.5951445441303251</v>
      </c>
      <c r="W152" s="222">
        <f t="shared" ref="W152" si="2618">IF(W151=0,0, V152)</f>
        <v>1.5951445441303251</v>
      </c>
      <c r="X152" s="222">
        <f t="shared" ref="X152" si="2619">IF(X151=0,0, W152)</f>
        <v>1.5951445441303251</v>
      </c>
      <c r="Y152" s="222">
        <f t="shared" ref="Y152" si="2620">IF(Y151=0,0, X152)</f>
        <v>1.5951445441303251</v>
      </c>
      <c r="Z152" s="222">
        <f t="shared" ref="Z152" si="2621">IF(Z151=0,0, Y152)</f>
        <v>1.5951445441303251</v>
      </c>
      <c r="AA152" s="222">
        <f t="shared" ref="AA152" si="2622">IF(AA151=0,0, Z152)</f>
        <v>1.5951445441303251</v>
      </c>
      <c r="AB152" s="222">
        <f t="shared" ref="AB152" si="2623">IF(AB151=0,0, AA152)</f>
        <v>1.5951445441303251</v>
      </c>
      <c r="AC152" s="222">
        <f t="shared" ref="AC152" si="2624">IF(AC151=0,0, AB152)</f>
        <v>1.5951445441303251</v>
      </c>
      <c r="AD152" s="222">
        <f t="shared" ref="AD152" si="2625">IF(AD151=0,0, AC152)</f>
        <v>1.5951445441303251</v>
      </c>
      <c r="AE152" s="222">
        <f t="shared" ref="AE152" si="2626">IF(AE151=0,0, AD152)</f>
        <v>1.5951445441303251</v>
      </c>
      <c r="AF152" s="222">
        <f t="shared" ref="AF152" si="2627">IF(AF151=0,0, AE152)</f>
        <v>1.5951445441303251</v>
      </c>
      <c r="AG152" s="222">
        <f t="shared" ref="AG152" si="2628">IF(AG151=0,0, AF152)</f>
        <v>1.5951445441303251</v>
      </c>
      <c r="AH152" s="222">
        <f t="shared" ref="AH152" si="2629">IF(AH151=0,0, AG152)</f>
        <v>1.5951445441303251</v>
      </c>
      <c r="AI152" s="222">
        <f t="shared" ref="AI152" si="2630">IF(AI151=0,0, AH152)</f>
        <v>1.5951445441303251</v>
      </c>
      <c r="AJ152" s="222">
        <f t="shared" ref="AJ152" si="2631">IF(AJ151=0,0, AI152)</f>
        <v>1.5951445441303251</v>
      </c>
      <c r="AK152" s="222">
        <f t="shared" ref="AK152" si="2632">IF(AK151=0,0, AJ152)</f>
        <v>1.5951445441303251</v>
      </c>
      <c r="AL152" s="222">
        <f t="shared" ref="AL152" si="2633">IF(AL151=0,0, AK152)</f>
        <v>1.5951445441303251</v>
      </c>
      <c r="AM152" s="222">
        <f t="shared" ref="AM152" si="2634">IF(AM151=0,0, AL152)</f>
        <v>0</v>
      </c>
      <c r="AN152" s="222">
        <f t="shared" ref="AN152" si="2635">IF(AN151=0,0, AM152)</f>
        <v>0</v>
      </c>
      <c r="AO152" s="222">
        <f t="shared" ref="AO152" si="2636">IF(AO151=0,0, AN152)</f>
        <v>0</v>
      </c>
      <c r="AP152" s="222">
        <f t="shared" ref="AP152" si="2637">IF(AP151=0,0, AO152)</f>
        <v>0</v>
      </c>
      <c r="AQ152" s="222">
        <f t="shared" ref="AQ152" si="2638">IF(AQ151=0,0, AP152)</f>
        <v>0</v>
      </c>
      <c r="AR152" s="222">
        <f t="shared" ref="AR152" si="2639">IF(AR151=0,0, AQ152)</f>
        <v>0</v>
      </c>
      <c r="AS152" s="222">
        <f t="shared" ref="AS152" si="2640">IF(AS151=0,0, AR152)</f>
        <v>0</v>
      </c>
      <c r="AT152" s="222">
        <f t="shared" ref="AT152" si="2641">IF(AT151=0,0, AS152)</f>
        <v>0</v>
      </c>
      <c r="AU152" s="222">
        <f t="shared" ref="AU152" si="2642">IF(AU151=0,0, AT152)</f>
        <v>0</v>
      </c>
      <c r="AV152" s="222">
        <f t="shared" ref="AV152" si="2643">IF(AV151=0,0, AU152)</f>
        <v>0</v>
      </c>
      <c r="AW152" s="222">
        <f t="shared" ref="AW152" si="2644">IF(AW151=0,0, AV152)</f>
        <v>0</v>
      </c>
      <c r="AX152" s="222">
        <f t="shared" ref="AX152" si="2645">IF(AX151=0,0, AW152)</f>
        <v>0</v>
      </c>
      <c r="AY152" s="222">
        <f t="shared" ref="AY152" si="2646">IF(AY151=0,0, AX152)</f>
        <v>0</v>
      </c>
      <c r="AZ152" s="222">
        <f t="shared" ref="AZ152" si="2647">IF(AZ151=0,0, AY152)</f>
        <v>0</v>
      </c>
      <c r="BA152" s="222">
        <f t="shared" ref="BA152" si="2648">IF(BA151=0,0, AZ152)</f>
        <v>0</v>
      </c>
      <c r="BB152" s="222">
        <f t="shared" ref="BB152" si="2649">IF(BB151=0,0, BA152)</f>
        <v>0</v>
      </c>
      <c r="BC152" s="222">
        <f t="shared" ref="BC152" si="2650">IF(BC151=0,0, BB152)</f>
        <v>0</v>
      </c>
      <c r="BD152" s="222">
        <f t="shared" ref="BD152" si="2651">IF(BD151=0,0, BC152)</f>
        <v>0</v>
      </c>
      <c r="BE152" s="222">
        <f t="shared" ref="BE152" si="2652">IF(BE151=0,0, BD152)</f>
        <v>0</v>
      </c>
      <c r="BF152" s="222">
        <f t="shared" ref="BF152" si="2653">IF(BF151=0,0, BE152)</f>
        <v>0</v>
      </c>
      <c r="BG152" s="222">
        <f t="shared" ref="BG152" si="2654">IF(BG151=0,0, BF152)</f>
        <v>0</v>
      </c>
      <c r="BH152" s="222">
        <f t="shared" ref="BH152" si="2655">IF(BH151=0,0, BG152)</f>
        <v>0</v>
      </c>
      <c r="BI152" s="222">
        <f t="shared" ref="BI152" si="2656">IF(BI151=0,0, BH152)</f>
        <v>0</v>
      </c>
      <c r="BJ152" s="222">
        <f t="shared" ref="BJ152" si="2657">IF(BJ151=0,0, BI152)</f>
        <v>0</v>
      </c>
      <c r="BK152" s="222">
        <f t="shared" ref="BK152" si="2658">IF(BK151=0,0, BJ152)</f>
        <v>0</v>
      </c>
    </row>
    <row r="153" spans="1:63" ht="7.8" x14ac:dyDescent="0.15">
      <c r="A153" s="218" t="s">
        <v>180</v>
      </c>
      <c r="B153" s="192"/>
      <c r="C153" s="192"/>
      <c r="D153" s="192"/>
      <c r="E153" s="192"/>
      <c r="F153" s="192"/>
      <c r="G153" s="192"/>
      <c r="H153" s="192"/>
      <c r="I153" s="192"/>
      <c r="J153" s="192"/>
      <c r="K153" s="192"/>
      <c r="L153" s="192"/>
      <c r="M153" s="192"/>
      <c r="N153" s="192"/>
      <c r="O153" s="192"/>
      <c r="P153" s="192"/>
      <c r="Q153" s="192"/>
      <c r="R153" s="192"/>
      <c r="S153" s="192"/>
      <c r="T153" s="220" cm="1">
        <f t="array" ref="T153">T151*INDEX(LoanCohortRate,$A150)</f>
        <v>0.38541666666666669</v>
      </c>
      <c r="U153" s="221" cm="1">
        <f t="array" ref="U153">U151*INDEX(LoanCohortRate,$A150)</f>
        <v>0.36676669522243527</v>
      </c>
      <c r="V153" s="221" cm="1">
        <f t="array" ref="V153">V151*INDEX(LoanCohortRate,$A150)</f>
        <v>0.34782920338510526</v>
      </c>
      <c r="W153" s="221" cm="1">
        <f t="array" ref="W153">W151*INDEX(LoanCohortRate,$A150)</f>
        <v>0.32859975854861645</v>
      </c>
      <c r="X153" s="221" cm="1">
        <f t="array" ref="X153">X151*INDEX(LoanCohortRate,$A150)</f>
        <v>0.30907385977089846</v>
      </c>
      <c r="Y153" s="221" cm="1">
        <f t="array" ref="Y153">Y151*INDEX(LoanCohortRate,$A150)</f>
        <v>0.28924693672035728</v>
      </c>
      <c r="Z153" s="221" cm="1">
        <f t="array" ref="Z153">Z151*INDEX(LoanCohortRate,$A150)</f>
        <v>0.26911434860612032</v>
      </c>
      <c r="AA153" s="221" cm="1">
        <f t="array" ref="AA153">AA151*INDEX(LoanCohortRate,$A150)</f>
        <v>0.24867138309178882</v>
      </c>
      <c r="AB153" s="221" cm="1">
        <f t="array" ref="AB153">AB151*INDEX(LoanCohortRate,$A150)</f>
        <v>0.22791325519244471</v>
      </c>
      <c r="AC153" s="221" cm="1">
        <f t="array" ref="AC153">AC151*INDEX(LoanCohortRate,$A150)</f>
        <v>0.20683510615465239</v>
      </c>
      <c r="AD153" s="221" cm="1">
        <f t="array" ref="AD153">AD151*INDEX(LoanCohortRate,$A150)</f>
        <v>0.1854320023191941</v>
      </c>
      <c r="AE153" s="221" cm="1">
        <f t="array" ref="AE153">AE151*INDEX(LoanCohortRate,$A150)</f>
        <v>0.1636989339662725</v>
      </c>
      <c r="AF153" s="221" cm="1">
        <f t="array" ref="AF153">AF151*INDEX(LoanCohortRate,$A150)</f>
        <v>0.14163081414291001</v>
      </c>
      <c r="AG153" s="221" cm="1">
        <f t="array" ref="AG153">AG151*INDEX(LoanCohortRate,$A150)</f>
        <v>0.11922247747227069</v>
      </c>
      <c r="AH153" s="221" cm="1">
        <f t="array" ref="AH153">AH151*INDEX(LoanCohortRate,$A150)</f>
        <v>9.6468678944625685E-2</v>
      </c>
      <c r="AI153" s="221" cm="1">
        <f t="array" ref="AI153">AI151*INDEX(LoanCohortRate,$A150)</f>
        <v>7.3364092689679486E-2</v>
      </c>
      <c r="AJ153" s="221" cm="1">
        <f t="array" ref="AJ153">AJ151*INDEX(LoanCohortRate,$A150)</f>
        <v>4.9903310729969536E-2</v>
      </c>
      <c r="AK153" s="221" cm="1">
        <f t="array" ref="AK153">AK151*INDEX(LoanCohortRate,$A150)</f>
        <v>2.6080841715047383E-2</v>
      </c>
      <c r="AL153" s="221" cm="1">
        <f t="array" ref="AL153">AL151*INDEX(LoanCohortRate,$A150)</f>
        <v>1.8911096361451838E-3</v>
      </c>
      <c r="AM153" s="221" cm="1">
        <f t="array" ref="AM153">AM151*INDEX(LoanCohortRate,$A150)</f>
        <v>0</v>
      </c>
      <c r="AN153" s="221" cm="1">
        <f t="array" ref="AN153">AN151*INDEX(LoanCohortRate,$A150)</f>
        <v>0</v>
      </c>
      <c r="AO153" s="221" cm="1">
        <f t="array" ref="AO153">AO151*INDEX(LoanCohortRate,$A150)</f>
        <v>0</v>
      </c>
      <c r="AP153" s="221" cm="1">
        <f t="array" ref="AP153">AP151*INDEX(LoanCohortRate,$A150)</f>
        <v>0</v>
      </c>
      <c r="AQ153" s="221" cm="1">
        <f t="array" ref="AQ153">AQ151*INDEX(LoanCohortRate,$A150)</f>
        <v>0</v>
      </c>
      <c r="AR153" s="221" cm="1">
        <f t="array" ref="AR153">AR151*INDEX(LoanCohortRate,$A150)</f>
        <v>0</v>
      </c>
      <c r="AS153" s="221" cm="1">
        <f t="array" ref="AS153">AS151*INDEX(LoanCohortRate,$A150)</f>
        <v>0</v>
      </c>
      <c r="AT153" s="221" cm="1">
        <f t="array" ref="AT153">AT151*INDEX(LoanCohortRate,$A150)</f>
        <v>0</v>
      </c>
      <c r="AU153" s="221" cm="1">
        <f t="array" ref="AU153">AU151*INDEX(LoanCohortRate,$A150)</f>
        <v>0</v>
      </c>
      <c r="AV153" s="221" cm="1">
        <f t="array" ref="AV153">AV151*INDEX(LoanCohortRate,$A150)</f>
        <v>0</v>
      </c>
      <c r="AW153" s="221" cm="1">
        <f t="array" ref="AW153">AW151*INDEX(LoanCohortRate,$A150)</f>
        <v>0</v>
      </c>
      <c r="AX153" s="221" cm="1">
        <f t="array" ref="AX153">AX151*INDEX(LoanCohortRate,$A150)</f>
        <v>0</v>
      </c>
      <c r="AY153" s="221" cm="1">
        <f t="array" ref="AY153">AY151*INDEX(LoanCohortRate,$A150)</f>
        <v>0</v>
      </c>
      <c r="AZ153" s="221" cm="1">
        <f t="array" ref="AZ153">AZ151*INDEX(LoanCohortRate,$A150)</f>
        <v>0</v>
      </c>
      <c r="BA153" s="221" cm="1">
        <f t="array" ref="BA153">BA151*INDEX(LoanCohortRate,$A150)</f>
        <v>0</v>
      </c>
      <c r="BB153" s="221" cm="1">
        <f t="array" ref="BB153">BB151*INDEX(LoanCohortRate,$A150)</f>
        <v>0</v>
      </c>
      <c r="BC153" s="221" cm="1">
        <f t="array" ref="BC153">BC151*INDEX(LoanCohortRate,$A150)</f>
        <v>0</v>
      </c>
      <c r="BD153" s="221" cm="1">
        <f t="array" ref="BD153">BD151*INDEX(LoanCohortRate,$A150)</f>
        <v>0</v>
      </c>
      <c r="BE153" s="221" cm="1">
        <f t="array" ref="BE153">BE151*INDEX(LoanCohortRate,$A150)</f>
        <v>0</v>
      </c>
      <c r="BF153" s="221" cm="1">
        <f t="array" ref="BF153">BF151*INDEX(LoanCohortRate,$A150)</f>
        <v>0</v>
      </c>
      <c r="BG153" s="221" cm="1">
        <f t="array" ref="BG153">BG151*INDEX(LoanCohortRate,$A150)</f>
        <v>0</v>
      </c>
      <c r="BH153" s="221" cm="1">
        <f t="array" ref="BH153">BH151*INDEX(LoanCohortRate,$A150)</f>
        <v>0</v>
      </c>
      <c r="BI153" s="221" cm="1">
        <f t="array" ref="BI153">BI151*INDEX(LoanCohortRate,$A150)</f>
        <v>0</v>
      </c>
      <c r="BJ153" s="221" cm="1">
        <f t="array" ref="BJ153">BJ151*INDEX(LoanCohortRate,$A150)</f>
        <v>0</v>
      </c>
      <c r="BK153" s="221" cm="1">
        <f t="array" ref="BK153">BK151*INDEX(LoanCohortRate,$A150)</f>
        <v>0</v>
      </c>
    </row>
    <row r="154" spans="1:63" ht="7.8" x14ac:dyDescent="0.15">
      <c r="A154" s="218" t="s">
        <v>177</v>
      </c>
      <c r="B154" s="192"/>
      <c r="C154" s="192"/>
      <c r="D154" s="192"/>
      <c r="E154" s="192"/>
      <c r="F154" s="192"/>
      <c r="G154" s="192"/>
      <c r="H154" s="192"/>
      <c r="I154" s="192"/>
      <c r="J154" s="192"/>
      <c r="K154" s="192"/>
      <c r="L154" s="192"/>
      <c r="M154" s="192"/>
      <c r="N154" s="192"/>
      <c r="O154" s="192"/>
      <c r="P154" s="192"/>
      <c r="Q154" s="192"/>
      <c r="R154" s="192"/>
      <c r="S154" s="192"/>
      <c r="T154" s="219">
        <f>T152-T153</f>
        <v>1.2097278774636584</v>
      </c>
      <c r="U154" s="222">
        <f t="shared" ref="U154:BK154" si="2659">U152-U153</f>
        <v>1.2283778489078898</v>
      </c>
      <c r="V154" s="222">
        <f t="shared" si="2659"/>
        <v>1.24731534074522</v>
      </c>
      <c r="W154" s="222">
        <f t="shared" si="2659"/>
        <v>1.2665447855817087</v>
      </c>
      <c r="X154" s="222">
        <f t="shared" si="2659"/>
        <v>1.2860706843594267</v>
      </c>
      <c r="Y154" s="222">
        <f t="shared" si="2659"/>
        <v>1.305897607409968</v>
      </c>
      <c r="Z154" s="222">
        <f t="shared" si="2659"/>
        <v>1.3260301955242049</v>
      </c>
      <c r="AA154" s="222">
        <f t="shared" si="2659"/>
        <v>1.3464731610385363</v>
      </c>
      <c r="AB154" s="222">
        <f t="shared" si="2659"/>
        <v>1.3672312889378804</v>
      </c>
      <c r="AC154" s="222">
        <f t="shared" si="2659"/>
        <v>1.3883094379756726</v>
      </c>
      <c r="AD154" s="222">
        <f t="shared" si="2659"/>
        <v>1.4097125418111309</v>
      </c>
      <c r="AE154" s="222">
        <f t="shared" si="2659"/>
        <v>1.4314456101640527</v>
      </c>
      <c r="AF154" s="222">
        <f t="shared" si="2659"/>
        <v>1.453513729987415</v>
      </c>
      <c r="AG154" s="222">
        <f t="shared" si="2659"/>
        <v>1.4759220666580544</v>
      </c>
      <c r="AH154" s="222">
        <f t="shared" si="2659"/>
        <v>1.4986758651856995</v>
      </c>
      <c r="AI154" s="222">
        <f t="shared" si="2659"/>
        <v>1.5217804514406457</v>
      </c>
      <c r="AJ154" s="222">
        <f t="shared" si="2659"/>
        <v>1.5452412334003556</v>
      </c>
      <c r="AK154" s="222">
        <f t="shared" si="2659"/>
        <v>1.5690637024152778</v>
      </c>
      <c r="AL154" s="222">
        <f t="shared" si="2659"/>
        <v>1.59325343449418</v>
      </c>
      <c r="AM154" s="222">
        <f t="shared" si="2659"/>
        <v>0</v>
      </c>
      <c r="AN154" s="222">
        <f t="shared" si="2659"/>
        <v>0</v>
      </c>
      <c r="AO154" s="222">
        <f t="shared" si="2659"/>
        <v>0</v>
      </c>
      <c r="AP154" s="222">
        <f t="shared" si="2659"/>
        <v>0</v>
      </c>
      <c r="AQ154" s="222">
        <f t="shared" si="2659"/>
        <v>0</v>
      </c>
      <c r="AR154" s="222">
        <f t="shared" si="2659"/>
        <v>0</v>
      </c>
      <c r="AS154" s="222">
        <f t="shared" si="2659"/>
        <v>0</v>
      </c>
      <c r="AT154" s="222">
        <f t="shared" si="2659"/>
        <v>0</v>
      </c>
      <c r="AU154" s="222">
        <f t="shared" si="2659"/>
        <v>0</v>
      </c>
      <c r="AV154" s="222">
        <f t="shared" si="2659"/>
        <v>0</v>
      </c>
      <c r="AW154" s="222">
        <f t="shared" si="2659"/>
        <v>0</v>
      </c>
      <c r="AX154" s="222">
        <f t="shared" si="2659"/>
        <v>0</v>
      </c>
      <c r="AY154" s="222">
        <f t="shared" si="2659"/>
        <v>0</v>
      </c>
      <c r="AZ154" s="222">
        <f t="shared" si="2659"/>
        <v>0</v>
      </c>
      <c r="BA154" s="222">
        <f t="shared" si="2659"/>
        <v>0</v>
      </c>
      <c r="BB154" s="222">
        <f t="shared" si="2659"/>
        <v>0</v>
      </c>
      <c r="BC154" s="222">
        <f t="shared" si="2659"/>
        <v>0</v>
      </c>
      <c r="BD154" s="222">
        <f t="shared" si="2659"/>
        <v>0</v>
      </c>
      <c r="BE154" s="222">
        <f t="shared" si="2659"/>
        <v>0</v>
      </c>
      <c r="BF154" s="222">
        <f t="shared" si="2659"/>
        <v>0</v>
      </c>
      <c r="BG154" s="222">
        <f t="shared" si="2659"/>
        <v>0</v>
      </c>
      <c r="BH154" s="222">
        <f t="shared" si="2659"/>
        <v>0</v>
      </c>
      <c r="BI154" s="222">
        <f t="shared" si="2659"/>
        <v>0</v>
      </c>
      <c r="BJ154" s="222">
        <f t="shared" si="2659"/>
        <v>0</v>
      </c>
      <c r="BK154" s="222">
        <f t="shared" si="2659"/>
        <v>0</v>
      </c>
    </row>
    <row r="155" spans="1:63" ht="7.8" x14ac:dyDescent="0.15">
      <c r="A155" s="205" t="s">
        <v>7</v>
      </c>
      <c r="B155" s="192"/>
      <c r="C155" s="192"/>
      <c r="D155" s="192"/>
      <c r="E155" s="192"/>
      <c r="F155" s="192"/>
      <c r="G155" s="192"/>
      <c r="H155" s="192"/>
      <c r="I155" s="192"/>
      <c r="J155" s="192"/>
      <c r="K155" s="192"/>
      <c r="L155" s="192"/>
      <c r="M155" s="192"/>
      <c r="N155" s="192"/>
      <c r="O155" s="192"/>
      <c r="P155" s="192"/>
      <c r="Q155" s="192"/>
      <c r="R155" s="192"/>
      <c r="S155" s="192"/>
      <c r="T155" s="214" cm="1">
        <f t="array" ref="T155">INDEX(LoanOriginations,$A150)</f>
        <v>108.30711512760216</v>
      </c>
      <c r="U155" s="199">
        <f t="shared" ref="U155:BK155" si="2660">T155*(1-MitigateDelinquency*MitigateChargeoff)  *  IF(U150=0,0,IF(U150-102=LoanSaleHeld,0.6,1))</f>
        <v>108.19880801247456</v>
      </c>
      <c r="V155" s="199">
        <f t="shared" si="2660"/>
        <v>108.09060920446208</v>
      </c>
      <c r="W155" s="199">
        <f t="shared" si="2660"/>
        <v>107.98251859525762</v>
      </c>
      <c r="X155" s="199">
        <f t="shared" si="2660"/>
        <v>64.724721645997406</v>
      </c>
      <c r="Y155" s="199">
        <f t="shared" si="2660"/>
        <v>64.659996924351404</v>
      </c>
      <c r="Z155" s="199">
        <f t="shared" si="2660"/>
        <v>64.595336927427056</v>
      </c>
      <c r="AA155" s="199">
        <f t="shared" si="2660"/>
        <v>64.53074159049963</v>
      </c>
      <c r="AB155" s="199">
        <f t="shared" si="2660"/>
        <v>64.466210848909128</v>
      </c>
      <c r="AC155" s="199">
        <f t="shared" si="2660"/>
        <v>64.401744638060222</v>
      </c>
      <c r="AD155" s="199">
        <f t="shared" si="2660"/>
        <v>64.337342893422161</v>
      </c>
      <c r="AE155" s="199">
        <f t="shared" si="2660"/>
        <v>64.273005550528737</v>
      </c>
      <c r="AF155" s="199">
        <f t="shared" si="2660"/>
        <v>64.208732544978204</v>
      </c>
      <c r="AG155" s="199">
        <f t="shared" si="2660"/>
        <v>64.144523812433221</v>
      </c>
      <c r="AH155" s="199">
        <f t="shared" si="2660"/>
        <v>64.08037928862079</v>
      </c>
      <c r="AI155" s="199">
        <f t="shared" si="2660"/>
        <v>64.016298909332164</v>
      </c>
      <c r="AJ155" s="199">
        <f t="shared" si="2660"/>
        <v>63.952282610422834</v>
      </c>
      <c r="AK155" s="199">
        <f t="shared" si="2660"/>
        <v>63.888330327812412</v>
      </c>
      <c r="AL155" s="199">
        <f t="shared" si="2660"/>
        <v>63.824441997484598</v>
      </c>
      <c r="AM155" s="199">
        <f t="shared" si="2660"/>
        <v>0</v>
      </c>
      <c r="AN155" s="199">
        <f t="shared" si="2660"/>
        <v>0</v>
      </c>
      <c r="AO155" s="199">
        <f t="shared" si="2660"/>
        <v>0</v>
      </c>
      <c r="AP155" s="199">
        <f t="shared" si="2660"/>
        <v>0</v>
      </c>
      <c r="AQ155" s="199">
        <f t="shared" si="2660"/>
        <v>0</v>
      </c>
      <c r="AR155" s="199">
        <f t="shared" si="2660"/>
        <v>0</v>
      </c>
      <c r="AS155" s="199">
        <f t="shared" si="2660"/>
        <v>0</v>
      </c>
      <c r="AT155" s="199">
        <f t="shared" si="2660"/>
        <v>0</v>
      </c>
      <c r="AU155" s="199">
        <f t="shared" si="2660"/>
        <v>0</v>
      </c>
      <c r="AV155" s="199">
        <f t="shared" si="2660"/>
        <v>0</v>
      </c>
      <c r="AW155" s="199">
        <f t="shared" si="2660"/>
        <v>0</v>
      </c>
      <c r="AX155" s="199">
        <f t="shared" si="2660"/>
        <v>0</v>
      </c>
      <c r="AY155" s="199">
        <f t="shared" si="2660"/>
        <v>0</v>
      </c>
      <c r="AZ155" s="199">
        <f t="shared" si="2660"/>
        <v>0</v>
      </c>
      <c r="BA155" s="199">
        <f t="shared" si="2660"/>
        <v>0</v>
      </c>
      <c r="BB155" s="199">
        <f t="shared" si="2660"/>
        <v>0</v>
      </c>
      <c r="BC155" s="199">
        <f t="shared" si="2660"/>
        <v>0</v>
      </c>
      <c r="BD155" s="199">
        <f t="shared" si="2660"/>
        <v>0</v>
      </c>
      <c r="BE155" s="199">
        <f t="shared" si="2660"/>
        <v>0</v>
      </c>
      <c r="BF155" s="199">
        <f t="shared" si="2660"/>
        <v>0</v>
      </c>
      <c r="BG155" s="199">
        <f t="shared" si="2660"/>
        <v>0</v>
      </c>
      <c r="BH155" s="199">
        <f t="shared" si="2660"/>
        <v>0</v>
      </c>
      <c r="BI155" s="199">
        <f t="shared" si="2660"/>
        <v>0</v>
      </c>
      <c r="BJ155" s="199">
        <f t="shared" si="2660"/>
        <v>0</v>
      </c>
      <c r="BK155" s="199">
        <f t="shared" si="2660"/>
        <v>0</v>
      </c>
    </row>
    <row r="156" spans="1:63" ht="7.8" x14ac:dyDescent="0.15">
      <c r="A156" s="207" t="s">
        <v>96</v>
      </c>
      <c r="B156" s="192"/>
      <c r="C156" s="192"/>
      <c r="D156" s="192"/>
      <c r="E156" s="192"/>
      <c r="F156" s="192"/>
      <c r="G156" s="192"/>
      <c r="H156" s="192"/>
      <c r="I156" s="192"/>
      <c r="J156" s="192"/>
      <c r="K156" s="192"/>
      <c r="L156" s="192"/>
      <c r="M156" s="192"/>
      <c r="N156" s="192"/>
      <c r="O156" s="192"/>
      <c r="P156" s="192"/>
      <c r="Q156" s="192"/>
      <c r="R156" s="192"/>
      <c r="S156" s="192"/>
      <c r="T156" s="223">
        <f>T153*T155</f>
        <v>41.743367288763338</v>
      </c>
      <c r="U156" s="200">
        <f t="shared" ref="U156" si="2661">U153*U155</f>
        <v>39.683719241742047</v>
      </c>
      <c r="V156" s="200">
        <f t="shared" ref="V156" si="2662">V153*V155</f>
        <v>37.597070492998775</v>
      </c>
      <c r="W156" s="200">
        <f t="shared" ref="W156" si="2663">W153*W155</f>
        <v>35.483029537873136</v>
      </c>
      <c r="X156" s="200">
        <f t="shared" ref="X156" si="2664">X153*X155</f>
        <v>20.004719541725439</v>
      </c>
      <c r="Y156" s="200">
        <f t="shared" ref="Y156" si="2665">Y153*Y155</f>
        <v>18.702706038716368</v>
      </c>
      <c r="Z156" s="200">
        <f t="shared" ref="Z156" si="2666">Z153*Z155</f>
        <v>17.383532020217402</v>
      </c>
      <c r="AA156" s="200">
        <f t="shared" ref="AA156" si="2667">AA153*AA155</f>
        <v>16.046948763248363</v>
      </c>
      <c r="AB156" s="200">
        <f t="shared" ref="AB156" si="2668">AB153*AB155</f>
        <v>14.692703964497374</v>
      </c>
      <c r="AC156" s="200">
        <f t="shared" ref="AC156" si="2669">AC153*AC155</f>
        <v>13.320541688758002</v>
      </c>
      <c r="AD156" s="200">
        <f t="shared" ref="AD156" si="2670">AD153*AD155</f>
        <v>11.930202316623845</v>
      </c>
      <c r="AE156" s="200">
        <f t="shared" ref="AE156" si="2671">AE153*AE155</f>
        <v>10.521422491429869</v>
      </c>
      <c r="AF156" s="200">
        <f t="shared" ref="AF156" si="2672">AF153*AF155</f>
        <v>9.0939350654296245</v>
      </c>
      <c r="AG156" s="200">
        <f t="shared" ref="AG156" si="2673">AG153*AG155</f>
        <v>7.6474690451973499</v>
      </c>
      <c r="AH156" s="200">
        <f t="shared" ref="AH156" si="2674">AH153*AH155</f>
        <v>6.1817495362438004</v>
      </c>
      <c r="AI156" s="200">
        <f t="shared" ref="AI156" si="2675">AI153*AI155</f>
        <v>4.6964976868344728</v>
      </c>
      <c r="AJ156" s="200">
        <f t="shared" ref="AJ156" si="2676">AJ153*AJ155</f>
        <v>3.1914306309987581</v>
      </c>
      <c r="AK156" s="200">
        <f t="shared" ref="AK156" si="2677">AK153*AK155</f>
        <v>1.6662614307183368</v>
      </c>
      <c r="AL156" s="200">
        <f t="shared" ref="AL156" si="2678">AL153*AL155</f>
        <v>0.12069901728303249</v>
      </c>
      <c r="AM156" s="200">
        <f t="shared" ref="AM156" si="2679">AM153*AM155</f>
        <v>0</v>
      </c>
      <c r="AN156" s="200">
        <f t="shared" ref="AN156" si="2680">AN153*AN155</f>
        <v>0</v>
      </c>
      <c r="AO156" s="200">
        <f t="shared" ref="AO156" si="2681">AO153*AO155</f>
        <v>0</v>
      </c>
      <c r="AP156" s="200">
        <f t="shared" ref="AP156" si="2682">AP153*AP155</f>
        <v>0</v>
      </c>
      <c r="AQ156" s="200">
        <f t="shared" ref="AQ156" si="2683">AQ153*AQ155</f>
        <v>0</v>
      </c>
      <c r="AR156" s="200">
        <f t="shared" ref="AR156" si="2684">AR153*AR155</f>
        <v>0</v>
      </c>
      <c r="AS156" s="200">
        <f t="shared" ref="AS156" si="2685">AS153*AS155</f>
        <v>0</v>
      </c>
      <c r="AT156" s="200">
        <f t="shared" ref="AT156" si="2686">AT153*AT155</f>
        <v>0</v>
      </c>
      <c r="AU156" s="200">
        <f t="shared" ref="AU156" si="2687">AU153*AU155</f>
        <v>0</v>
      </c>
      <c r="AV156" s="200">
        <f t="shared" ref="AV156" si="2688">AV153*AV155</f>
        <v>0</v>
      </c>
      <c r="AW156" s="200">
        <f t="shared" ref="AW156" si="2689">AW153*AW155</f>
        <v>0</v>
      </c>
      <c r="AX156" s="200">
        <f t="shared" ref="AX156" si="2690">AX153*AX155</f>
        <v>0</v>
      </c>
      <c r="AY156" s="200">
        <f t="shared" ref="AY156" si="2691">AY153*AY155</f>
        <v>0</v>
      </c>
      <c r="AZ156" s="200">
        <f t="shared" ref="AZ156" si="2692">AZ153*AZ155</f>
        <v>0</v>
      </c>
      <c r="BA156" s="200">
        <f t="shared" ref="BA156" si="2693">BA153*BA155</f>
        <v>0</v>
      </c>
      <c r="BB156" s="200">
        <f t="shared" ref="BB156" si="2694">BB153*BB155</f>
        <v>0</v>
      </c>
      <c r="BC156" s="200">
        <f t="shared" ref="BC156" si="2695">BC153*BC155</f>
        <v>0</v>
      </c>
      <c r="BD156" s="200">
        <f t="shared" ref="BD156" si="2696">BD153*BD155</f>
        <v>0</v>
      </c>
      <c r="BE156" s="200">
        <f t="shared" ref="BE156" si="2697">BE153*BE155</f>
        <v>0</v>
      </c>
      <c r="BF156" s="200">
        <f t="shared" ref="BF156" si="2698">BF153*BF155</f>
        <v>0</v>
      </c>
      <c r="BG156" s="200">
        <f t="shared" ref="BG156" si="2699">BG153*BG155</f>
        <v>0</v>
      </c>
      <c r="BH156" s="200">
        <f t="shared" ref="BH156" si="2700">BH153*BH155</f>
        <v>0</v>
      </c>
      <c r="BI156" s="200">
        <f t="shared" ref="BI156" si="2701">BI153*BI155</f>
        <v>0</v>
      </c>
      <c r="BJ156" s="200">
        <f t="shared" ref="BJ156" si="2702">BJ153*BJ155</f>
        <v>0</v>
      </c>
      <c r="BK156" s="200">
        <f t="shared" ref="BK156" si="2703">BK153*BK155</f>
        <v>0</v>
      </c>
    </row>
    <row r="157" spans="1:63" ht="7.8" x14ac:dyDescent="0.15">
      <c r="A157" s="206" t="s">
        <v>97</v>
      </c>
      <c r="B157" s="192"/>
      <c r="C157" s="192"/>
      <c r="D157" s="192"/>
      <c r="E157" s="192"/>
      <c r="F157" s="192"/>
      <c r="G157" s="192"/>
      <c r="H157" s="192"/>
      <c r="I157" s="192"/>
      <c r="J157" s="192"/>
      <c r="K157" s="192"/>
      <c r="L157" s="192"/>
      <c r="M157" s="192"/>
      <c r="N157" s="192"/>
      <c r="O157" s="192"/>
      <c r="P157" s="192"/>
      <c r="Q157" s="192"/>
      <c r="R157" s="192"/>
      <c r="S157" s="192"/>
      <c r="T157" s="223">
        <f>T154*T155</f>
        <v>131.02213649752625</v>
      </c>
      <c r="U157" s="200">
        <f>U154*U155</f>
        <v>132.90901904076125</v>
      </c>
      <c r="V157" s="200">
        <f t="shared" ref="V157:BK157" si="2704">V154*V155</f>
        <v>134.82307505122205</v>
      </c>
      <c r="W157" s="200">
        <f t="shared" si="2704"/>
        <v>136.76469586080344</v>
      </c>
      <c r="X157" s="200">
        <f t="shared" si="2704"/>
        <v>83.240567062241283</v>
      </c>
      <c r="Y157" s="200">
        <f t="shared" si="2704"/>
        <v>84.439335278646382</v>
      </c>
      <c r="Z157" s="200">
        <f t="shared" si="2704"/>
        <v>85.655367255827983</v>
      </c>
      <c r="AA157" s="200">
        <f t="shared" si="2704"/>
        <v>86.888911613520989</v>
      </c>
      <c r="AB157" s="200">
        <f t="shared" si="2704"/>
        <v>88.140220551895197</v>
      </c>
      <c r="AC157" s="200">
        <f t="shared" si="2704"/>
        <v>89.409549903118176</v>
      </c>
      <c r="AD157" s="200">
        <f t="shared" si="2704"/>
        <v>90.69715918366046</v>
      </c>
      <c r="AE157" s="200">
        <f t="shared" si="2704"/>
        <v>92.003311647354153</v>
      </c>
      <c r="AF157" s="200">
        <f t="shared" si="2704"/>
        <v>93.328274339215596</v>
      </c>
      <c r="AG157" s="200">
        <f t="shared" si="2704"/>
        <v>94.672318150043225</v>
      </c>
      <c r="AH157" s="200">
        <f t="shared" si="2704"/>
        <v>96.035717871801538</v>
      </c>
      <c r="AI157" s="200">
        <f t="shared" si="2704"/>
        <v>97.418752253802808</v>
      </c>
      <c r="AJ157" s="200">
        <f t="shared" si="2704"/>
        <v>98.821704059697893</v>
      </c>
      <c r="AK157" s="200">
        <f t="shared" si="2704"/>
        <v>100.24486012528762</v>
      </c>
      <c r="AL157" s="200">
        <f t="shared" si="2704"/>
        <v>101.68851141716692</v>
      </c>
      <c r="AM157" s="200">
        <f t="shared" si="2704"/>
        <v>0</v>
      </c>
      <c r="AN157" s="200">
        <f t="shared" si="2704"/>
        <v>0</v>
      </c>
      <c r="AO157" s="200">
        <f t="shared" si="2704"/>
        <v>0</v>
      </c>
      <c r="AP157" s="200">
        <f t="shared" si="2704"/>
        <v>0</v>
      </c>
      <c r="AQ157" s="200">
        <f t="shared" si="2704"/>
        <v>0</v>
      </c>
      <c r="AR157" s="200">
        <f t="shared" si="2704"/>
        <v>0</v>
      </c>
      <c r="AS157" s="200">
        <f t="shared" si="2704"/>
        <v>0</v>
      </c>
      <c r="AT157" s="200">
        <f t="shared" si="2704"/>
        <v>0</v>
      </c>
      <c r="AU157" s="200">
        <f t="shared" si="2704"/>
        <v>0</v>
      </c>
      <c r="AV157" s="200">
        <f t="shared" si="2704"/>
        <v>0</v>
      </c>
      <c r="AW157" s="200">
        <f t="shared" si="2704"/>
        <v>0</v>
      </c>
      <c r="AX157" s="200">
        <f t="shared" si="2704"/>
        <v>0</v>
      </c>
      <c r="AY157" s="200">
        <f t="shared" si="2704"/>
        <v>0</v>
      </c>
      <c r="AZ157" s="200">
        <f t="shared" si="2704"/>
        <v>0</v>
      </c>
      <c r="BA157" s="200">
        <f t="shared" si="2704"/>
        <v>0</v>
      </c>
      <c r="BB157" s="200">
        <f t="shared" si="2704"/>
        <v>0</v>
      </c>
      <c r="BC157" s="200">
        <f t="shared" si="2704"/>
        <v>0</v>
      </c>
      <c r="BD157" s="200">
        <f t="shared" si="2704"/>
        <v>0</v>
      </c>
      <c r="BE157" s="200">
        <f t="shared" si="2704"/>
        <v>0</v>
      </c>
      <c r="BF157" s="200">
        <f t="shared" si="2704"/>
        <v>0</v>
      </c>
      <c r="BG157" s="200">
        <f t="shared" si="2704"/>
        <v>0</v>
      </c>
      <c r="BH157" s="200">
        <f t="shared" si="2704"/>
        <v>0</v>
      </c>
      <c r="BI157" s="200">
        <f t="shared" si="2704"/>
        <v>0</v>
      </c>
      <c r="BJ157" s="200">
        <f t="shared" si="2704"/>
        <v>0</v>
      </c>
      <c r="BK157" s="200">
        <f t="shared" si="2704"/>
        <v>0</v>
      </c>
    </row>
    <row r="158" spans="1:63" ht="7.8" x14ac:dyDescent="0.15">
      <c r="A158" s="208" t="s">
        <v>203</v>
      </c>
      <c r="B158" s="192"/>
      <c r="C158" s="192"/>
      <c r="D158" s="192"/>
      <c r="E158" s="192"/>
      <c r="F158" s="192"/>
      <c r="G158" s="192"/>
      <c r="H158" s="192"/>
      <c r="I158" s="192"/>
      <c r="J158" s="192"/>
      <c r="K158" s="192"/>
      <c r="L158" s="192"/>
      <c r="M158" s="192"/>
      <c r="N158" s="192"/>
      <c r="O158" s="192"/>
      <c r="P158" s="192"/>
      <c r="Q158" s="192"/>
      <c r="R158" s="192"/>
      <c r="S158" s="192"/>
      <c r="T158" s="224">
        <f>IF(T150-101&lt;&gt;LoanSaleHeld,0,SUM($D157:T157)*LoanSalePercent)</f>
        <v>0</v>
      </c>
      <c r="U158" s="225">
        <f>IF(U150-101&lt;&gt;LoanSaleHeld,0,SUM($D157:U157)*LoanSalePercent)</f>
        <v>0</v>
      </c>
      <c r="V158" s="225">
        <f>IF(V150-101&lt;&gt;LoanSaleHeld,0,SUM($D157:V157)*LoanSalePercent)</f>
        <v>0</v>
      </c>
      <c r="W158" s="225">
        <f>IF(W150-101&lt;&gt;LoanSaleHeld,0,SUM($D157:W157)*LoanSalePercent)</f>
        <v>214.20757058012524</v>
      </c>
      <c r="X158" s="225">
        <f>IF(X150-101&lt;&gt;LoanSaleHeld,0,SUM($D157:X157)*LoanSalePercent)</f>
        <v>0</v>
      </c>
      <c r="Y158" s="225">
        <f>IF(Y150-101&lt;&gt;LoanSaleHeld,0,SUM($D157:Y157)*LoanSalePercent)</f>
        <v>0</v>
      </c>
      <c r="Z158" s="225">
        <f>IF(Z150-101&lt;&gt;LoanSaleHeld,0,SUM($D157:Z157)*LoanSalePercent)</f>
        <v>0</v>
      </c>
      <c r="AA158" s="225">
        <f>IF(AA150-101&lt;&gt;LoanSaleHeld,0,SUM($D157:AA157)*LoanSalePercent)</f>
        <v>0</v>
      </c>
      <c r="AB158" s="225">
        <f>IF(AB150-101&lt;&gt;LoanSaleHeld,0,SUM($D157:AB157)*LoanSalePercent)</f>
        <v>0</v>
      </c>
      <c r="AC158" s="225">
        <f>IF(AC150-101&lt;&gt;LoanSaleHeld,0,SUM($D157:AC157)*LoanSalePercent)</f>
        <v>0</v>
      </c>
      <c r="AD158" s="225">
        <f>IF(AD150-101&lt;&gt;LoanSaleHeld,0,SUM($D157:AD157)*LoanSalePercent)</f>
        <v>0</v>
      </c>
      <c r="AE158" s="225">
        <f>IF(AE150-101&lt;&gt;LoanSaleHeld,0,SUM($D157:AE157)*LoanSalePercent)</f>
        <v>0</v>
      </c>
      <c r="AF158" s="225">
        <f>IF(AF150-101&lt;&gt;LoanSaleHeld,0,SUM($D157:AF157)*LoanSalePercent)</f>
        <v>0</v>
      </c>
      <c r="AG158" s="225">
        <f>IF(AG150-101&lt;&gt;LoanSaleHeld,0,SUM($D157:AG157)*LoanSalePercent)</f>
        <v>0</v>
      </c>
      <c r="AH158" s="225">
        <f>IF(AH150-101&lt;&gt;LoanSaleHeld,0,SUM($D157:AH157)*LoanSalePercent)</f>
        <v>0</v>
      </c>
      <c r="AI158" s="225">
        <f>IF(AI150-101&lt;&gt;LoanSaleHeld,0,SUM($D157:AI157)*LoanSalePercent)</f>
        <v>0</v>
      </c>
      <c r="AJ158" s="225">
        <f>IF(AJ150-101&lt;&gt;LoanSaleHeld,0,SUM($D157:AJ157)*LoanSalePercent)</f>
        <v>0</v>
      </c>
      <c r="AK158" s="225">
        <f>IF(AK150-101&lt;&gt;LoanSaleHeld,0,SUM($D157:AK157)*LoanSalePercent)</f>
        <v>0</v>
      </c>
      <c r="AL158" s="225">
        <f>IF(AL150-101&lt;&gt;LoanSaleHeld,0,SUM($D157:AL157)*LoanSalePercent)</f>
        <v>0</v>
      </c>
      <c r="AM158" s="225">
        <f>IF(AM150-101&lt;&gt;LoanSaleHeld,0,SUM($D157:AM157)*LoanSalePercent)</f>
        <v>0</v>
      </c>
      <c r="AN158" s="225">
        <f>IF(AN150-101&lt;&gt;LoanSaleHeld,0,SUM($D157:AN157)*LoanSalePercent)</f>
        <v>0</v>
      </c>
      <c r="AO158" s="225">
        <f>IF(AO150-101&lt;&gt;LoanSaleHeld,0,SUM($D157:AO157)*LoanSalePercent)</f>
        <v>0</v>
      </c>
      <c r="AP158" s="225">
        <f>IF(AP150-101&lt;&gt;LoanSaleHeld,0,SUM($D157:AP157)*LoanSalePercent)</f>
        <v>0</v>
      </c>
      <c r="AQ158" s="225">
        <f>IF(AQ150-101&lt;&gt;LoanSaleHeld,0,SUM($D157:AQ157)*LoanSalePercent)</f>
        <v>0</v>
      </c>
      <c r="AR158" s="225">
        <f>IF(AR150-101&lt;&gt;LoanSaleHeld,0,SUM($D157:AR157)*LoanSalePercent)</f>
        <v>0</v>
      </c>
      <c r="AS158" s="225">
        <f>IF(AS150-101&lt;&gt;LoanSaleHeld,0,SUM($D157:AS157)*LoanSalePercent)</f>
        <v>0</v>
      </c>
      <c r="AT158" s="225">
        <f>IF(AT150-101&lt;&gt;LoanSaleHeld,0,SUM($D157:AT157)*LoanSalePercent)</f>
        <v>0</v>
      </c>
      <c r="AU158" s="225">
        <f>IF(AU150-101&lt;&gt;LoanSaleHeld,0,SUM($D157:AU157)*LoanSalePercent)</f>
        <v>0</v>
      </c>
      <c r="AV158" s="225">
        <f>IF(AV150-101&lt;&gt;LoanSaleHeld,0,SUM($D157:AV157)*LoanSalePercent)</f>
        <v>0</v>
      </c>
      <c r="AW158" s="225">
        <f>IF(AW150-101&lt;&gt;LoanSaleHeld,0,SUM($D157:AW157)*LoanSalePercent)</f>
        <v>0</v>
      </c>
      <c r="AX158" s="225">
        <f>IF(AX150-101&lt;&gt;LoanSaleHeld,0,SUM($D157:AX157)*LoanSalePercent)</f>
        <v>0</v>
      </c>
      <c r="AY158" s="225">
        <f>IF(AY150-101&lt;&gt;LoanSaleHeld,0,SUM($D157:AY157)*LoanSalePercent)</f>
        <v>0</v>
      </c>
      <c r="AZ158" s="225">
        <f>IF(AZ150-101&lt;&gt;LoanSaleHeld,0,SUM($D157:AZ157)*LoanSalePercent)</f>
        <v>0</v>
      </c>
      <c r="BA158" s="225">
        <f>IF(BA150-101&lt;&gt;LoanSaleHeld,0,SUM($D157:BA157)*LoanSalePercent)</f>
        <v>0</v>
      </c>
      <c r="BB158" s="225">
        <f>IF(BB150-101&lt;&gt;LoanSaleHeld,0,SUM($D157:BB157)*LoanSalePercent)</f>
        <v>0</v>
      </c>
      <c r="BC158" s="225">
        <f>IF(BC150-101&lt;&gt;LoanSaleHeld,0,SUM($D157:BC157)*LoanSalePercent)</f>
        <v>0</v>
      </c>
      <c r="BD158" s="225">
        <f>IF(BD150-101&lt;&gt;LoanSaleHeld,0,SUM($D157:BD157)*LoanSalePercent)</f>
        <v>0</v>
      </c>
      <c r="BE158" s="225">
        <f>IF(BE150-101&lt;&gt;LoanSaleHeld,0,SUM($D157:BE157)*LoanSalePercent)</f>
        <v>0</v>
      </c>
      <c r="BF158" s="225">
        <f>IF(BF150-101&lt;&gt;LoanSaleHeld,0,SUM($D157:BF157)*LoanSalePercent)</f>
        <v>0</v>
      </c>
      <c r="BG158" s="225">
        <f>IF(BG150-101&lt;&gt;LoanSaleHeld,0,SUM($D157:BG157)*LoanSalePercent)</f>
        <v>0</v>
      </c>
      <c r="BH158" s="225">
        <f>IF(BH150-101&lt;&gt;LoanSaleHeld,0,SUM($D157:BH157)*LoanSalePercent)</f>
        <v>0</v>
      </c>
      <c r="BI158" s="225">
        <f>IF(BI150-101&lt;&gt;LoanSaleHeld,0,SUM($D157:BI157)*LoanSalePercent)</f>
        <v>0</v>
      </c>
      <c r="BJ158" s="225">
        <f>IF(BJ150-101&lt;&gt;LoanSaleHeld,0,SUM($D157:BJ157)*LoanSalePercent)</f>
        <v>0</v>
      </c>
      <c r="BK158" s="225">
        <f>IF(BK150-101&lt;&gt;LoanSaleHeld,0,SUM($D157:BK157)*LoanSalePercent)</f>
        <v>0</v>
      </c>
    </row>
    <row r="159" spans="1:63" ht="7.8" x14ac:dyDescent="0.15">
      <c r="A159" s="204">
        <f t="shared" ref="A159" si="2705">A150+1</f>
        <v>18</v>
      </c>
      <c r="B159" s="192"/>
      <c r="C159" s="192"/>
      <c r="D159" s="192"/>
      <c r="E159" s="192"/>
      <c r="F159" s="192"/>
      <c r="G159" s="192"/>
      <c r="H159" s="192"/>
      <c r="I159" s="192"/>
      <c r="J159" s="192"/>
      <c r="K159" s="192"/>
      <c r="L159" s="192"/>
      <c r="M159" s="192"/>
      <c r="N159" s="192"/>
      <c r="O159" s="192"/>
      <c r="P159" s="192"/>
      <c r="Q159" s="192"/>
      <c r="R159" s="192"/>
      <c r="S159" s="192"/>
      <c r="T159" s="192"/>
      <c r="U159" s="195">
        <v>101</v>
      </c>
      <c r="V159" s="196">
        <f t="shared" ref="V159" si="2706">IF(V160=0,0,U159+1)</f>
        <v>102</v>
      </c>
      <c r="W159" s="196">
        <f t="shared" ref="W159" si="2707">IF(W160=0,0,V159+1)</f>
        <v>103</v>
      </c>
      <c r="X159" s="196">
        <f t="shared" ref="X159" si="2708">IF(X160=0,0,W159+1)</f>
        <v>104</v>
      </c>
      <c r="Y159" s="196">
        <f t="shared" ref="Y159" si="2709">IF(Y160=0,0,X159+1)</f>
        <v>105</v>
      </c>
      <c r="Z159" s="196">
        <f t="shared" ref="Z159" si="2710">IF(Z160=0,0,Y159+1)</f>
        <v>106</v>
      </c>
      <c r="AA159" s="196">
        <f t="shared" ref="AA159" si="2711">IF(AA160=0,0,Z159+1)</f>
        <v>107</v>
      </c>
      <c r="AB159" s="196">
        <f t="shared" ref="AB159" si="2712">IF(AB160=0,0,AA159+1)</f>
        <v>108</v>
      </c>
      <c r="AC159" s="196">
        <f t="shared" ref="AC159" si="2713">IF(AC160=0,0,AB159+1)</f>
        <v>109</v>
      </c>
      <c r="AD159" s="196">
        <f t="shared" ref="AD159" si="2714">IF(AD160=0,0,AC159+1)</f>
        <v>110</v>
      </c>
      <c r="AE159" s="196">
        <f t="shared" ref="AE159" si="2715">IF(AE160=0,0,AD159+1)</f>
        <v>111</v>
      </c>
      <c r="AF159" s="196">
        <f t="shared" ref="AF159" si="2716">IF(AF160=0,0,AE159+1)</f>
        <v>112</v>
      </c>
      <c r="AG159" s="196">
        <f t="shared" ref="AG159" si="2717">IF(AG160=0,0,AF159+1)</f>
        <v>113</v>
      </c>
      <c r="AH159" s="196">
        <f t="shared" ref="AH159" si="2718">IF(AH160=0,0,AG159+1)</f>
        <v>114</v>
      </c>
      <c r="AI159" s="196">
        <f t="shared" ref="AI159" si="2719">IF(AI160=0,0,AH159+1)</f>
        <v>115</v>
      </c>
      <c r="AJ159" s="196">
        <f t="shared" ref="AJ159" si="2720">IF(AJ160=0,0,AI159+1)</f>
        <v>116</v>
      </c>
      <c r="AK159" s="196">
        <f t="shared" ref="AK159" si="2721">IF(AK160=0,0,AJ159+1)</f>
        <v>117</v>
      </c>
      <c r="AL159" s="196">
        <f t="shared" ref="AL159" si="2722">IF(AL160=0,0,AK159+1)</f>
        <v>118</v>
      </c>
      <c r="AM159" s="196">
        <f t="shared" ref="AM159" si="2723">IF(AM160=0,0,AL159+1)</f>
        <v>119</v>
      </c>
      <c r="AN159" s="196">
        <f t="shared" ref="AN159" si="2724">IF(AN160=0,0,AM159+1)</f>
        <v>0</v>
      </c>
      <c r="AO159" s="196">
        <f t="shared" ref="AO159" si="2725">IF(AO160=0,0,AN159+1)</f>
        <v>0</v>
      </c>
      <c r="AP159" s="196">
        <f t="shared" ref="AP159" si="2726">IF(AP160=0,0,AO159+1)</f>
        <v>0</v>
      </c>
      <c r="AQ159" s="196">
        <f t="shared" ref="AQ159" si="2727">IF(AQ160=0,0,AP159+1)</f>
        <v>0</v>
      </c>
      <c r="AR159" s="196">
        <f t="shared" ref="AR159" si="2728">IF(AR160=0,0,AQ159+1)</f>
        <v>0</v>
      </c>
      <c r="AS159" s="196">
        <f t="shared" ref="AS159" si="2729">IF(AS160=0,0,AR159+1)</f>
        <v>0</v>
      </c>
      <c r="AT159" s="196">
        <f t="shared" ref="AT159" si="2730">IF(AT160=0,0,AS159+1)</f>
        <v>0</v>
      </c>
      <c r="AU159" s="196">
        <f t="shared" ref="AU159" si="2731">IF(AU160=0,0,AT159+1)</f>
        <v>0</v>
      </c>
      <c r="AV159" s="196">
        <f t="shared" ref="AV159" si="2732">IF(AV160=0,0,AU159+1)</f>
        <v>0</v>
      </c>
      <c r="AW159" s="196">
        <f t="shared" ref="AW159" si="2733">IF(AW160=0,0,AV159+1)</f>
        <v>0</v>
      </c>
      <c r="AX159" s="196">
        <f t="shared" ref="AX159" si="2734">IF(AX160=0,0,AW159+1)</f>
        <v>0</v>
      </c>
      <c r="AY159" s="196">
        <f t="shared" ref="AY159" si="2735">IF(AY160=0,0,AX159+1)</f>
        <v>0</v>
      </c>
      <c r="AZ159" s="196">
        <f t="shared" ref="AZ159" si="2736">IF(AZ160=0,0,AY159+1)</f>
        <v>0</v>
      </c>
      <c r="BA159" s="196">
        <f t="shared" ref="BA159" si="2737">IF(BA160=0,0,AZ159+1)</f>
        <v>0</v>
      </c>
      <c r="BB159" s="196">
        <f t="shared" ref="BB159" si="2738">IF(BB160=0,0,BA159+1)</f>
        <v>0</v>
      </c>
      <c r="BC159" s="196">
        <f t="shared" ref="BC159" si="2739">IF(BC160=0,0,BB159+1)</f>
        <v>0</v>
      </c>
      <c r="BD159" s="196">
        <f t="shared" ref="BD159" si="2740">IF(BD160=0,0,BC159+1)</f>
        <v>0</v>
      </c>
      <c r="BE159" s="196">
        <f t="shared" ref="BE159" si="2741">IF(BE160=0,0,BD159+1)</f>
        <v>0</v>
      </c>
      <c r="BF159" s="196">
        <f t="shared" ref="BF159" si="2742">IF(BF160=0,0,BE159+1)</f>
        <v>0</v>
      </c>
      <c r="BG159" s="196">
        <f t="shared" ref="BG159" si="2743">IF(BG160=0,0,BF159+1)</f>
        <v>0</v>
      </c>
      <c r="BH159" s="196">
        <f t="shared" ref="BH159" si="2744">IF(BH160=0,0,BG159+1)</f>
        <v>0</v>
      </c>
      <c r="BI159" s="196">
        <f t="shared" ref="BI159" si="2745">IF(BI160=0,0,BH159+1)</f>
        <v>0</v>
      </c>
      <c r="BJ159" s="196">
        <f t="shared" ref="BJ159" si="2746">IF(BJ160=0,0,BI159+1)</f>
        <v>0</v>
      </c>
      <c r="BK159" s="196">
        <f t="shared" ref="BK159" si="2747">IF(BK160=0,0,BJ159+1)</f>
        <v>0</v>
      </c>
    </row>
    <row r="160" spans="1:63" ht="7.8" x14ac:dyDescent="0.15">
      <c r="A160" s="216" t="s">
        <v>178</v>
      </c>
      <c r="B160" s="192"/>
      <c r="C160" s="192"/>
      <c r="D160" s="192"/>
      <c r="E160" s="192"/>
      <c r="F160" s="192"/>
      <c r="G160" s="192"/>
      <c r="H160" s="192"/>
      <c r="I160" s="192"/>
      <c r="J160" s="192"/>
      <c r="K160" s="192"/>
      <c r="L160" s="192"/>
      <c r="M160" s="192"/>
      <c r="N160" s="192"/>
      <c r="O160" s="192"/>
      <c r="P160" s="192"/>
      <c r="Q160" s="192"/>
      <c r="R160" s="192"/>
      <c r="S160" s="192"/>
      <c r="T160" s="192"/>
      <c r="U160" s="217">
        <f>LoanSize</f>
        <v>25</v>
      </c>
      <c r="V160" s="215">
        <f>IF(U160-U163&lt;=0.1,0,U160-U163)</f>
        <v>23.79027212253634</v>
      </c>
      <c r="W160" s="215">
        <f t="shared" ref="W160:BK160" si="2748">IF(V160-V163&lt;=0.1,0,V160-V163)</f>
        <v>22.56189427362845</v>
      </c>
      <c r="X160" s="215">
        <f t="shared" si="2748"/>
        <v>21.314578932883229</v>
      </c>
      <c r="Y160" s="215">
        <f t="shared" si="2748"/>
        <v>20.048034147301522</v>
      </c>
      <c r="Z160" s="215">
        <f t="shared" si="2748"/>
        <v>18.761963462942095</v>
      </c>
      <c r="AA160" s="215">
        <f t="shared" si="2748"/>
        <v>17.456065855532128</v>
      </c>
      <c r="AB160" s="215">
        <f t="shared" si="2748"/>
        <v>16.130035660007923</v>
      </c>
      <c r="AC160" s="215">
        <f t="shared" si="2748"/>
        <v>14.783562498969387</v>
      </c>
      <c r="AD160" s="215">
        <f t="shared" si="2748"/>
        <v>13.416331210031506</v>
      </c>
      <c r="AE160" s="215">
        <f t="shared" si="2748"/>
        <v>12.028021772055833</v>
      </c>
      <c r="AF160" s="215">
        <f t="shared" si="2748"/>
        <v>10.618309230244702</v>
      </c>
      <c r="AG160" s="215">
        <f t="shared" si="2748"/>
        <v>9.1868636200806488</v>
      </c>
      <c r="AH160" s="215">
        <f t="shared" si="2748"/>
        <v>7.7333498900932334</v>
      </c>
      <c r="AI160" s="215">
        <f t="shared" si="2748"/>
        <v>6.2574278234351794</v>
      </c>
      <c r="AJ160" s="215">
        <f t="shared" si="2748"/>
        <v>4.7587519582494799</v>
      </c>
      <c r="AK160" s="215">
        <f t="shared" si="2748"/>
        <v>3.2369715068088345</v>
      </c>
      <c r="AL160" s="215">
        <f t="shared" si="2748"/>
        <v>1.6917302734084789</v>
      </c>
      <c r="AM160" s="215">
        <f t="shared" si="2748"/>
        <v>0.12266657099320111</v>
      </c>
      <c r="AN160" s="215">
        <f t="shared" si="2748"/>
        <v>0</v>
      </c>
      <c r="AO160" s="215">
        <f t="shared" si="2748"/>
        <v>0</v>
      </c>
      <c r="AP160" s="215">
        <f t="shared" si="2748"/>
        <v>0</v>
      </c>
      <c r="AQ160" s="215">
        <f t="shared" si="2748"/>
        <v>0</v>
      </c>
      <c r="AR160" s="215">
        <f t="shared" si="2748"/>
        <v>0</v>
      </c>
      <c r="AS160" s="215">
        <f t="shared" si="2748"/>
        <v>0</v>
      </c>
      <c r="AT160" s="215">
        <f t="shared" si="2748"/>
        <v>0</v>
      </c>
      <c r="AU160" s="215">
        <f t="shared" si="2748"/>
        <v>0</v>
      </c>
      <c r="AV160" s="215">
        <f t="shared" si="2748"/>
        <v>0</v>
      </c>
      <c r="AW160" s="215">
        <f t="shared" si="2748"/>
        <v>0</v>
      </c>
      <c r="AX160" s="215">
        <f t="shared" si="2748"/>
        <v>0</v>
      </c>
      <c r="AY160" s="215">
        <f t="shared" si="2748"/>
        <v>0</v>
      </c>
      <c r="AZ160" s="215">
        <f t="shared" si="2748"/>
        <v>0</v>
      </c>
      <c r="BA160" s="215">
        <f t="shared" si="2748"/>
        <v>0</v>
      </c>
      <c r="BB160" s="215">
        <f t="shared" si="2748"/>
        <v>0</v>
      </c>
      <c r="BC160" s="215">
        <f t="shared" si="2748"/>
        <v>0</v>
      </c>
      <c r="BD160" s="215">
        <f t="shared" si="2748"/>
        <v>0</v>
      </c>
      <c r="BE160" s="215">
        <f t="shared" si="2748"/>
        <v>0</v>
      </c>
      <c r="BF160" s="215">
        <f t="shared" si="2748"/>
        <v>0</v>
      </c>
      <c r="BG160" s="215">
        <f t="shared" si="2748"/>
        <v>0</v>
      </c>
      <c r="BH160" s="215">
        <f t="shared" si="2748"/>
        <v>0</v>
      </c>
      <c r="BI160" s="215">
        <f t="shared" si="2748"/>
        <v>0</v>
      </c>
      <c r="BJ160" s="215">
        <f t="shared" si="2748"/>
        <v>0</v>
      </c>
      <c r="BK160" s="215">
        <f t="shared" si="2748"/>
        <v>0</v>
      </c>
    </row>
    <row r="161" spans="1:63" ht="7.8" x14ac:dyDescent="0.15">
      <c r="A161" s="218" t="s">
        <v>179</v>
      </c>
      <c r="B161" s="192"/>
      <c r="C161" s="192"/>
      <c r="D161" s="192"/>
      <c r="E161" s="192"/>
      <c r="F161" s="192"/>
      <c r="G161" s="192"/>
      <c r="H161" s="192"/>
      <c r="I161" s="192"/>
      <c r="J161" s="192"/>
      <c r="K161" s="192"/>
      <c r="L161" s="192"/>
      <c r="M161" s="192"/>
      <c r="N161" s="192"/>
      <c r="O161" s="192"/>
      <c r="P161" s="192"/>
      <c r="Q161" s="192"/>
      <c r="R161" s="192"/>
      <c r="S161" s="192"/>
      <c r="T161" s="192"/>
      <c r="U161" s="219">
        <f>IF(U160=0,0,PMT(INDEX(LoanCohortRate,1),LoanTerm, -LoanSize))</f>
        <v>1.5951445441303251</v>
      </c>
      <c r="V161" s="222">
        <f t="shared" ref="V161" si="2749">IF(V160=0,0, U161)</f>
        <v>1.5951445441303251</v>
      </c>
      <c r="W161" s="222">
        <f t="shared" ref="W161" si="2750">IF(W160=0,0, V161)</f>
        <v>1.5951445441303251</v>
      </c>
      <c r="X161" s="222">
        <f t="shared" ref="X161" si="2751">IF(X160=0,0, W161)</f>
        <v>1.5951445441303251</v>
      </c>
      <c r="Y161" s="222">
        <f t="shared" ref="Y161" si="2752">IF(Y160=0,0, X161)</f>
        <v>1.5951445441303251</v>
      </c>
      <c r="Z161" s="222">
        <f t="shared" ref="Z161" si="2753">IF(Z160=0,0, Y161)</f>
        <v>1.5951445441303251</v>
      </c>
      <c r="AA161" s="222">
        <f t="shared" ref="AA161" si="2754">IF(AA160=0,0, Z161)</f>
        <v>1.5951445441303251</v>
      </c>
      <c r="AB161" s="222">
        <f t="shared" ref="AB161" si="2755">IF(AB160=0,0, AA161)</f>
        <v>1.5951445441303251</v>
      </c>
      <c r="AC161" s="222">
        <f t="shared" ref="AC161" si="2756">IF(AC160=0,0, AB161)</f>
        <v>1.5951445441303251</v>
      </c>
      <c r="AD161" s="222">
        <f t="shared" ref="AD161" si="2757">IF(AD160=0,0, AC161)</f>
        <v>1.5951445441303251</v>
      </c>
      <c r="AE161" s="222">
        <f t="shared" ref="AE161" si="2758">IF(AE160=0,0, AD161)</f>
        <v>1.5951445441303251</v>
      </c>
      <c r="AF161" s="222">
        <f t="shared" ref="AF161" si="2759">IF(AF160=0,0, AE161)</f>
        <v>1.5951445441303251</v>
      </c>
      <c r="AG161" s="222">
        <f t="shared" ref="AG161" si="2760">IF(AG160=0,0, AF161)</f>
        <v>1.5951445441303251</v>
      </c>
      <c r="AH161" s="222">
        <f t="shared" ref="AH161" si="2761">IF(AH160=0,0, AG161)</f>
        <v>1.5951445441303251</v>
      </c>
      <c r="AI161" s="222">
        <f t="shared" ref="AI161" si="2762">IF(AI160=0,0, AH161)</f>
        <v>1.5951445441303251</v>
      </c>
      <c r="AJ161" s="222">
        <f t="shared" ref="AJ161" si="2763">IF(AJ160=0,0, AI161)</f>
        <v>1.5951445441303251</v>
      </c>
      <c r="AK161" s="222">
        <f t="shared" ref="AK161" si="2764">IF(AK160=0,0, AJ161)</f>
        <v>1.5951445441303251</v>
      </c>
      <c r="AL161" s="222">
        <f t="shared" ref="AL161" si="2765">IF(AL160=0,0, AK161)</f>
        <v>1.5951445441303251</v>
      </c>
      <c r="AM161" s="222">
        <f t="shared" ref="AM161" si="2766">IF(AM160=0,0, AL161)</f>
        <v>1.5951445441303251</v>
      </c>
      <c r="AN161" s="222">
        <f t="shared" ref="AN161" si="2767">IF(AN160=0,0, AM161)</f>
        <v>0</v>
      </c>
      <c r="AO161" s="222">
        <f t="shared" ref="AO161" si="2768">IF(AO160=0,0, AN161)</f>
        <v>0</v>
      </c>
      <c r="AP161" s="222">
        <f t="shared" ref="AP161" si="2769">IF(AP160=0,0, AO161)</f>
        <v>0</v>
      </c>
      <c r="AQ161" s="222">
        <f t="shared" ref="AQ161" si="2770">IF(AQ160=0,0, AP161)</f>
        <v>0</v>
      </c>
      <c r="AR161" s="222">
        <f t="shared" ref="AR161" si="2771">IF(AR160=0,0, AQ161)</f>
        <v>0</v>
      </c>
      <c r="AS161" s="222">
        <f t="shared" ref="AS161" si="2772">IF(AS160=0,0, AR161)</f>
        <v>0</v>
      </c>
      <c r="AT161" s="222">
        <f t="shared" ref="AT161" si="2773">IF(AT160=0,0, AS161)</f>
        <v>0</v>
      </c>
      <c r="AU161" s="222">
        <f t="shared" ref="AU161" si="2774">IF(AU160=0,0, AT161)</f>
        <v>0</v>
      </c>
      <c r="AV161" s="222">
        <f t="shared" ref="AV161" si="2775">IF(AV160=0,0, AU161)</f>
        <v>0</v>
      </c>
      <c r="AW161" s="222">
        <f t="shared" ref="AW161" si="2776">IF(AW160=0,0, AV161)</f>
        <v>0</v>
      </c>
      <c r="AX161" s="222">
        <f t="shared" ref="AX161" si="2777">IF(AX160=0,0, AW161)</f>
        <v>0</v>
      </c>
      <c r="AY161" s="222">
        <f t="shared" ref="AY161" si="2778">IF(AY160=0,0, AX161)</f>
        <v>0</v>
      </c>
      <c r="AZ161" s="222">
        <f t="shared" ref="AZ161" si="2779">IF(AZ160=0,0, AY161)</f>
        <v>0</v>
      </c>
      <c r="BA161" s="222">
        <f t="shared" ref="BA161" si="2780">IF(BA160=0,0, AZ161)</f>
        <v>0</v>
      </c>
      <c r="BB161" s="222">
        <f t="shared" ref="BB161" si="2781">IF(BB160=0,0, BA161)</f>
        <v>0</v>
      </c>
      <c r="BC161" s="222">
        <f t="shared" ref="BC161" si="2782">IF(BC160=0,0, BB161)</f>
        <v>0</v>
      </c>
      <c r="BD161" s="222">
        <f t="shared" ref="BD161" si="2783">IF(BD160=0,0, BC161)</f>
        <v>0</v>
      </c>
      <c r="BE161" s="222">
        <f t="shared" ref="BE161" si="2784">IF(BE160=0,0, BD161)</f>
        <v>0</v>
      </c>
      <c r="BF161" s="222">
        <f t="shared" ref="BF161" si="2785">IF(BF160=0,0, BE161)</f>
        <v>0</v>
      </c>
      <c r="BG161" s="222">
        <f t="shared" ref="BG161" si="2786">IF(BG160=0,0, BF161)</f>
        <v>0</v>
      </c>
      <c r="BH161" s="222">
        <f t="shared" ref="BH161" si="2787">IF(BH160=0,0, BG161)</f>
        <v>0</v>
      </c>
      <c r="BI161" s="222">
        <f t="shared" ref="BI161" si="2788">IF(BI160=0,0, BH161)</f>
        <v>0</v>
      </c>
      <c r="BJ161" s="222">
        <f t="shared" ref="BJ161" si="2789">IF(BJ160=0,0, BI161)</f>
        <v>0</v>
      </c>
      <c r="BK161" s="222">
        <f t="shared" ref="BK161" si="2790">IF(BK160=0,0, BJ161)</f>
        <v>0</v>
      </c>
    </row>
    <row r="162" spans="1:63" ht="7.8" x14ac:dyDescent="0.15">
      <c r="A162" s="218" t="s">
        <v>180</v>
      </c>
      <c r="B162" s="192"/>
      <c r="C162" s="192"/>
      <c r="D162" s="192"/>
      <c r="E162" s="192"/>
      <c r="F162" s="192"/>
      <c r="G162" s="192"/>
      <c r="H162" s="192"/>
      <c r="I162" s="192"/>
      <c r="J162" s="192"/>
      <c r="K162" s="192"/>
      <c r="L162" s="192"/>
      <c r="M162" s="192"/>
      <c r="N162" s="192"/>
      <c r="O162" s="192"/>
      <c r="P162" s="192"/>
      <c r="Q162" s="192"/>
      <c r="R162" s="192"/>
      <c r="S162" s="192"/>
      <c r="T162" s="192"/>
      <c r="U162" s="220" cm="1">
        <f t="array" ref="U162">U160*INDEX(LoanCohortRate,$A159)</f>
        <v>0.38541666666666669</v>
      </c>
      <c r="V162" s="221" cm="1">
        <f t="array" ref="V162">V160*INDEX(LoanCohortRate,$A159)</f>
        <v>0.36676669522243527</v>
      </c>
      <c r="W162" s="221" cm="1">
        <f t="array" ref="W162">W160*INDEX(LoanCohortRate,$A159)</f>
        <v>0.34782920338510526</v>
      </c>
      <c r="X162" s="221" cm="1">
        <f t="array" ref="X162">X160*INDEX(LoanCohortRate,$A159)</f>
        <v>0.32859975854861645</v>
      </c>
      <c r="Y162" s="221" cm="1">
        <f t="array" ref="Y162">Y160*INDEX(LoanCohortRate,$A159)</f>
        <v>0.30907385977089846</v>
      </c>
      <c r="Z162" s="221" cm="1">
        <f t="array" ref="Z162">Z160*INDEX(LoanCohortRate,$A159)</f>
        <v>0.28924693672035728</v>
      </c>
      <c r="AA162" s="221" cm="1">
        <f t="array" ref="AA162">AA160*INDEX(LoanCohortRate,$A159)</f>
        <v>0.26911434860612032</v>
      </c>
      <c r="AB162" s="221" cm="1">
        <f t="array" ref="AB162">AB160*INDEX(LoanCohortRate,$A159)</f>
        <v>0.24867138309178882</v>
      </c>
      <c r="AC162" s="221" cm="1">
        <f t="array" ref="AC162">AC160*INDEX(LoanCohortRate,$A159)</f>
        <v>0.22791325519244471</v>
      </c>
      <c r="AD162" s="221" cm="1">
        <f t="array" ref="AD162">AD160*INDEX(LoanCohortRate,$A159)</f>
        <v>0.20683510615465239</v>
      </c>
      <c r="AE162" s="221" cm="1">
        <f t="array" ref="AE162">AE160*INDEX(LoanCohortRate,$A159)</f>
        <v>0.1854320023191941</v>
      </c>
      <c r="AF162" s="221" cm="1">
        <f t="array" ref="AF162">AF160*INDEX(LoanCohortRate,$A159)</f>
        <v>0.1636989339662725</v>
      </c>
      <c r="AG162" s="221" cm="1">
        <f t="array" ref="AG162">AG160*INDEX(LoanCohortRate,$A159)</f>
        <v>0.14163081414291001</v>
      </c>
      <c r="AH162" s="221" cm="1">
        <f t="array" ref="AH162">AH160*INDEX(LoanCohortRate,$A159)</f>
        <v>0.11922247747227069</v>
      </c>
      <c r="AI162" s="221" cm="1">
        <f t="array" ref="AI162">AI160*INDEX(LoanCohortRate,$A159)</f>
        <v>9.6468678944625685E-2</v>
      </c>
      <c r="AJ162" s="221" cm="1">
        <f t="array" ref="AJ162">AJ160*INDEX(LoanCohortRate,$A159)</f>
        <v>7.3364092689679486E-2</v>
      </c>
      <c r="AK162" s="221" cm="1">
        <f t="array" ref="AK162">AK160*INDEX(LoanCohortRate,$A159)</f>
        <v>4.9903310729969536E-2</v>
      </c>
      <c r="AL162" s="221" cm="1">
        <f t="array" ref="AL162">AL160*INDEX(LoanCohortRate,$A159)</f>
        <v>2.6080841715047383E-2</v>
      </c>
      <c r="AM162" s="221" cm="1">
        <f t="array" ref="AM162">AM160*INDEX(LoanCohortRate,$A159)</f>
        <v>1.8911096361451838E-3</v>
      </c>
      <c r="AN162" s="221" cm="1">
        <f t="array" ref="AN162">AN160*INDEX(LoanCohortRate,$A159)</f>
        <v>0</v>
      </c>
      <c r="AO162" s="221" cm="1">
        <f t="array" ref="AO162">AO160*INDEX(LoanCohortRate,$A159)</f>
        <v>0</v>
      </c>
      <c r="AP162" s="221" cm="1">
        <f t="array" ref="AP162">AP160*INDEX(LoanCohortRate,$A159)</f>
        <v>0</v>
      </c>
      <c r="AQ162" s="221" cm="1">
        <f t="array" ref="AQ162">AQ160*INDEX(LoanCohortRate,$A159)</f>
        <v>0</v>
      </c>
      <c r="AR162" s="221" cm="1">
        <f t="array" ref="AR162">AR160*INDEX(LoanCohortRate,$A159)</f>
        <v>0</v>
      </c>
      <c r="AS162" s="221" cm="1">
        <f t="array" ref="AS162">AS160*INDEX(LoanCohortRate,$A159)</f>
        <v>0</v>
      </c>
      <c r="AT162" s="221" cm="1">
        <f t="array" ref="AT162">AT160*INDEX(LoanCohortRate,$A159)</f>
        <v>0</v>
      </c>
      <c r="AU162" s="221" cm="1">
        <f t="array" ref="AU162">AU160*INDEX(LoanCohortRate,$A159)</f>
        <v>0</v>
      </c>
      <c r="AV162" s="221" cm="1">
        <f t="array" ref="AV162">AV160*INDEX(LoanCohortRate,$A159)</f>
        <v>0</v>
      </c>
      <c r="AW162" s="221" cm="1">
        <f t="array" ref="AW162">AW160*INDEX(LoanCohortRate,$A159)</f>
        <v>0</v>
      </c>
      <c r="AX162" s="221" cm="1">
        <f t="array" ref="AX162">AX160*INDEX(LoanCohortRate,$A159)</f>
        <v>0</v>
      </c>
      <c r="AY162" s="221" cm="1">
        <f t="array" ref="AY162">AY160*INDEX(LoanCohortRate,$A159)</f>
        <v>0</v>
      </c>
      <c r="AZ162" s="221" cm="1">
        <f t="array" ref="AZ162">AZ160*INDEX(LoanCohortRate,$A159)</f>
        <v>0</v>
      </c>
      <c r="BA162" s="221" cm="1">
        <f t="array" ref="BA162">BA160*INDEX(LoanCohortRate,$A159)</f>
        <v>0</v>
      </c>
      <c r="BB162" s="221" cm="1">
        <f t="array" ref="BB162">BB160*INDEX(LoanCohortRate,$A159)</f>
        <v>0</v>
      </c>
      <c r="BC162" s="221" cm="1">
        <f t="array" ref="BC162">BC160*INDEX(LoanCohortRate,$A159)</f>
        <v>0</v>
      </c>
      <c r="BD162" s="221" cm="1">
        <f t="array" ref="BD162">BD160*INDEX(LoanCohortRate,$A159)</f>
        <v>0</v>
      </c>
      <c r="BE162" s="221" cm="1">
        <f t="array" ref="BE162">BE160*INDEX(LoanCohortRate,$A159)</f>
        <v>0</v>
      </c>
      <c r="BF162" s="221" cm="1">
        <f t="array" ref="BF162">BF160*INDEX(LoanCohortRate,$A159)</f>
        <v>0</v>
      </c>
      <c r="BG162" s="221" cm="1">
        <f t="array" ref="BG162">BG160*INDEX(LoanCohortRate,$A159)</f>
        <v>0</v>
      </c>
      <c r="BH162" s="221" cm="1">
        <f t="array" ref="BH162">BH160*INDEX(LoanCohortRate,$A159)</f>
        <v>0</v>
      </c>
      <c r="BI162" s="221" cm="1">
        <f t="array" ref="BI162">BI160*INDEX(LoanCohortRate,$A159)</f>
        <v>0</v>
      </c>
      <c r="BJ162" s="221" cm="1">
        <f t="array" ref="BJ162">BJ160*INDEX(LoanCohortRate,$A159)</f>
        <v>0</v>
      </c>
      <c r="BK162" s="221" cm="1">
        <f t="array" ref="BK162">BK160*INDEX(LoanCohortRate,$A159)</f>
        <v>0</v>
      </c>
    </row>
    <row r="163" spans="1:63" ht="7.8" x14ac:dyDescent="0.15">
      <c r="A163" s="218" t="s">
        <v>177</v>
      </c>
      <c r="B163" s="192"/>
      <c r="C163" s="192"/>
      <c r="D163" s="192"/>
      <c r="E163" s="192"/>
      <c r="F163" s="192"/>
      <c r="G163" s="192"/>
      <c r="H163" s="192"/>
      <c r="I163" s="192"/>
      <c r="J163" s="192"/>
      <c r="K163" s="192"/>
      <c r="L163" s="192"/>
      <c r="M163" s="192"/>
      <c r="N163" s="192"/>
      <c r="O163" s="192"/>
      <c r="P163" s="192"/>
      <c r="Q163" s="192"/>
      <c r="R163" s="192"/>
      <c r="S163" s="192"/>
      <c r="T163" s="192"/>
      <c r="U163" s="219">
        <f>U161-U162</f>
        <v>1.2097278774636584</v>
      </c>
      <c r="V163" s="222">
        <f t="shared" ref="V163:BK163" si="2791">V161-V162</f>
        <v>1.2283778489078898</v>
      </c>
      <c r="W163" s="222">
        <f t="shared" si="2791"/>
        <v>1.24731534074522</v>
      </c>
      <c r="X163" s="222">
        <f t="shared" si="2791"/>
        <v>1.2665447855817087</v>
      </c>
      <c r="Y163" s="222">
        <f t="shared" si="2791"/>
        <v>1.2860706843594267</v>
      </c>
      <c r="Z163" s="222">
        <f t="shared" si="2791"/>
        <v>1.305897607409968</v>
      </c>
      <c r="AA163" s="222">
        <f t="shared" si="2791"/>
        <v>1.3260301955242049</v>
      </c>
      <c r="AB163" s="222">
        <f t="shared" si="2791"/>
        <v>1.3464731610385363</v>
      </c>
      <c r="AC163" s="222">
        <f t="shared" si="2791"/>
        <v>1.3672312889378804</v>
      </c>
      <c r="AD163" s="222">
        <f t="shared" si="2791"/>
        <v>1.3883094379756726</v>
      </c>
      <c r="AE163" s="222">
        <f t="shared" si="2791"/>
        <v>1.4097125418111309</v>
      </c>
      <c r="AF163" s="222">
        <f t="shared" si="2791"/>
        <v>1.4314456101640527</v>
      </c>
      <c r="AG163" s="222">
        <f t="shared" si="2791"/>
        <v>1.453513729987415</v>
      </c>
      <c r="AH163" s="222">
        <f t="shared" si="2791"/>
        <v>1.4759220666580544</v>
      </c>
      <c r="AI163" s="222">
        <f t="shared" si="2791"/>
        <v>1.4986758651856995</v>
      </c>
      <c r="AJ163" s="222">
        <f t="shared" si="2791"/>
        <v>1.5217804514406457</v>
      </c>
      <c r="AK163" s="222">
        <f t="shared" si="2791"/>
        <v>1.5452412334003556</v>
      </c>
      <c r="AL163" s="222">
        <f t="shared" si="2791"/>
        <v>1.5690637024152778</v>
      </c>
      <c r="AM163" s="222">
        <f t="shared" si="2791"/>
        <v>1.59325343449418</v>
      </c>
      <c r="AN163" s="222">
        <f t="shared" si="2791"/>
        <v>0</v>
      </c>
      <c r="AO163" s="222">
        <f t="shared" si="2791"/>
        <v>0</v>
      </c>
      <c r="AP163" s="222">
        <f t="shared" si="2791"/>
        <v>0</v>
      </c>
      <c r="AQ163" s="222">
        <f t="shared" si="2791"/>
        <v>0</v>
      </c>
      <c r="AR163" s="222">
        <f t="shared" si="2791"/>
        <v>0</v>
      </c>
      <c r="AS163" s="222">
        <f t="shared" si="2791"/>
        <v>0</v>
      </c>
      <c r="AT163" s="222">
        <f t="shared" si="2791"/>
        <v>0</v>
      </c>
      <c r="AU163" s="222">
        <f t="shared" si="2791"/>
        <v>0</v>
      </c>
      <c r="AV163" s="222">
        <f t="shared" si="2791"/>
        <v>0</v>
      </c>
      <c r="AW163" s="222">
        <f t="shared" si="2791"/>
        <v>0</v>
      </c>
      <c r="AX163" s="222">
        <f t="shared" si="2791"/>
        <v>0</v>
      </c>
      <c r="AY163" s="222">
        <f t="shared" si="2791"/>
        <v>0</v>
      </c>
      <c r="AZ163" s="222">
        <f t="shared" si="2791"/>
        <v>0</v>
      </c>
      <c r="BA163" s="222">
        <f t="shared" si="2791"/>
        <v>0</v>
      </c>
      <c r="BB163" s="222">
        <f t="shared" si="2791"/>
        <v>0</v>
      </c>
      <c r="BC163" s="222">
        <f t="shared" si="2791"/>
        <v>0</v>
      </c>
      <c r="BD163" s="222">
        <f t="shared" si="2791"/>
        <v>0</v>
      </c>
      <c r="BE163" s="222">
        <f t="shared" si="2791"/>
        <v>0</v>
      </c>
      <c r="BF163" s="222">
        <f t="shared" si="2791"/>
        <v>0</v>
      </c>
      <c r="BG163" s="222">
        <f t="shared" si="2791"/>
        <v>0</v>
      </c>
      <c r="BH163" s="222">
        <f t="shared" si="2791"/>
        <v>0</v>
      </c>
      <c r="BI163" s="222">
        <f t="shared" si="2791"/>
        <v>0</v>
      </c>
      <c r="BJ163" s="222">
        <f t="shared" si="2791"/>
        <v>0</v>
      </c>
      <c r="BK163" s="222">
        <f t="shared" si="2791"/>
        <v>0</v>
      </c>
    </row>
    <row r="164" spans="1:63" ht="7.8" x14ac:dyDescent="0.15">
      <c r="A164" s="205" t="s">
        <v>7</v>
      </c>
      <c r="B164" s="192"/>
      <c r="C164" s="192"/>
      <c r="D164" s="192"/>
      <c r="E164" s="192"/>
      <c r="F164" s="192"/>
      <c r="G164" s="192"/>
      <c r="H164" s="192"/>
      <c r="I164" s="192"/>
      <c r="J164" s="192"/>
      <c r="K164" s="192"/>
      <c r="L164" s="192"/>
      <c r="M164" s="192"/>
      <c r="N164" s="192"/>
      <c r="O164" s="192"/>
      <c r="P164" s="192"/>
      <c r="Q164" s="192"/>
      <c r="R164" s="192"/>
      <c r="S164" s="192"/>
      <c r="T164" s="192"/>
      <c r="U164" s="214" cm="1">
        <f t="array" ref="U164">INDEX(LoanOriginations,$A159)</f>
        <v>108.84865070324015</v>
      </c>
      <c r="V164" s="199">
        <f t="shared" ref="V164:BK164" si="2792">U164*(1-MitigateDelinquency*MitigateChargeoff)  *  IF(V159=0,0,IF(V159-102=LoanSaleHeld,0.6,1))</f>
        <v>108.73980205253692</v>
      </c>
      <c r="W164" s="199">
        <f t="shared" si="2792"/>
        <v>108.63106225048438</v>
      </c>
      <c r="X164" s="199">
        <f t="shared" si="2792"/>
        <v>108.5224311882339</v>
      </c>
      <c r="Y164" s="199">
        <f t="shared" si="2792"/>
        <v>65.048345254227399</v>
      </c>
      <c r="Z164" s="199">
        <f t="shared" si="2792"/>
        <v>64.983296908973173</v>
      </c>
      <c r="AA164" s="199">
        <f t="shared" si="2792"/>
        <v>64.918313612064196</v>
      </c>
      <c r="AB164" s="199">
        <f t="shared" si="2792"/>
        <v>64.853395298452128</v>
      </c>
      <c r="AC164" s="199">
        <f t="shared" si="2792"/>
        <v>64.788541903153671</v>
      </c>
      <c r="AD164" s="199">
        <f t="shared" si="2792"/>
        <v>64.723753361250516</v>
      </c>
      <c r="AE164" s="199">
        <f t="shared" si="2792"/>
        <v>64.659029607889266</v>
      </c>
      <c r="AF164" s="199">
        <f t="shared" si="2792"/>
        <v>64.594370578281371</v>
      </c>
      <c r="AG164" s="199">
        <f t="shared" si="2792"/>
        <v>64.529776207703094</v>
      </c>
      <c r="AH164" s="199">
        <f t="shared" si="2792"/>
        <v>64.465246431495387</v>
      </c>
      <c r="AI164" s="199">
        <f t="shared" si="2792"/>
        <v>64.400781185063892</v>
      </c>
      <c r="AJ164" s="199">
        <f t="shared" si="2792"/>
        <v>64.336380403878834</v>
      </c>
      <c r="AK164" s="199">
        <f t="shared" si="2792"/>
        <v>64.272044023474962</v>
      </c>
      <c r="AL164" s="199">
        <f t="shared" si="2792"/>
        <v>64.207771979451493</v>
      </c>
      <c r="AM164" s="199">
        <f t="shared" si="2792"/>
        <v>64.143564207472039</v>
      </c>
      <c r="AN164" s="199">
        <f t="shared" si="2792"/>
        <v>0</v>
      </c>
      <c r="AO164" s="199">
        <f t="shared" si="2792"/>
        <v>0</v>
      </c>
      <c r="AP164" s="199">
        <f t="shared" si="2792"/>
        <v>0</v>
      </c>
      <c r="AQ164" s="199">
        <f t="shared" si="2792"/>
        <v>0</v>
      </c>
      <c r="AR164" s="199">
        <f t="shared" si="2792"/>
        <v>0</v>
      </c>
      <c r="AS164" s="199">
        <f t="shared" si="2792"/>
        <v>0</v>
      </c>
      <c r="AT164" s="199">
        <f t="shared" si="2792"/>
        <v>0</v>
      </c>
      <c r="AU164" s="199">
        <f t="shared" si="2792"/>
        <v>0</v>
      </c>
      <c r="AV164" s="199">
        <f t="shared" si="2792"/>
        <v>0</v>
      </c>
      <c r="AW164" s="199">
        <f t="shared" si="2792"/>
        <v>0</v>
      </c>
      <c r="AX164" s="199">
        <f t="shared" si="2792"/>
        <v>0</v>
      </c>
      <c r="AY164" s="199">
        <f t="shared" si="2792"/>
        <v>0</v>
      </c>
      <c r="AZ164" s="199">
        <f t="shared" si="2792"/>
        <v>0</v>
      </c>
      <c r="BA164" s="199">
        <f t="shared" si="2792"/>
        <v>0</v>
      </c>
      <c r="BB164" s="199">
        <f t="shared" si="2792"/>
        <v>0</v>
      </c>
      <c r="BC164" s="199">
        <f t="shared" si="2792"/>
        <v>0</v>
      </c>
      <c r="BD164" s="199">
        <f t="shared" si="2792"/>
        <v>0</v>
      </c>
      <c r="BE164" s="199">
        <f t="shared" si="2792"/>
        <v>0</v>
      </c>
      <c r="BF164" s="199">
        <f t="shared" si="2792"/>
        <v>0</v>
      </c>
      <c r="BG164" s="199">
        <f t="shared" si="2792"/>
        <v>0</v>
      </c>
      <c r="BH164" s="199">
        <f t="shared" si="2792"/>
        <v>0</v>
      </c>
      <c r="BI164" s="199">
        <f t="shared" si="2792"/>
        <v>0</v>
      </c>
      <c r="BJ164" s="199">
        <f t="shared" si="2792"/>
        <v>0</v>
      </c>
      <c r="BK164" s="199">
        <f t="shared" si="2792"/>
        <v>0</v>
      </c>
    </row>
    <row r="165" spans="1:63" ht="7.8" x14ac:dyDescent="0.15">
      <c r="A165" s="207" t="s">
        <v>96</v>
      </c>
      <c r="B165" s="192"/>
      <c r="C165" s="192"/>
      <c r="D165" s="192"/>
      <c r="E165" s="192"/>
      <c r="F165" s="192"/>
      <c r="G165" s="192"/>
      <c r="H165" s="192"/>
      <c r="I165" s="192"/>
      <c r="J165" s="192"/>
      <c r="K165" s="192"/>
      <c r="L165" s="192"/>
      <c r="M165" s="192"/>
      <c r="N165" s="192"/>
      <c r="O165" s="192"/>
      <c r="P165" s="192"/>
      <c r="Q165" s="192"/>
      <c r="R165" s="192"/>
      <c r="S165" s="192"/>
      <c r="T165" s="192"/>
      <c r="U165" s="223">
        <f>U162*U164</f>
        <v>41.952084125207143</v>
      </c>
      <c r="V165" s="200">
        <f t="shared" ref="V165" si="2793">V162*V164</f>
        <v>39.882137837950751</v>
      </c>
      <c r="W165" s="200">
        <f t="shared" ref="W165" si="2794">W162*W164</f>
        <v>37.785055845463759</v>
      </c>
      <c r="X165" s="200">
        <f t="shared" ref="X165" si="2795">X162*X164</f>
        <v>35.660444685562503</v>
      </c>
      <c r="Y165" s="200">
        <f t="shared" ref="Y165" si="2796">Y162*Y164</f>
        <v>20.104743139434067</v>
      </c>
      <c r="Z165" s="200">
        <f t="shared" ref="Z165" si="2797">Z162*Z164</f>
        <v>18.796219568909951</v>
      </c>
      <c r="AA165" s="200">
        <f t="shared" ref="AA165" si="2798">AA162*AA164</f>
        <v>17.470449680318492</v>
      </c>
      <c r="AB165" s="200">
        <f t="shared" ref="AB165" si="2799">AB162*AB164</f>
        <v>16.127183507064604</v>
      </c>
      <c r="AC165" s="200">
        <f t="shared" ref="AC165" si="2800">AC162*AC164</f>
        <v>14.76616748431986</v>
      </c>
      <c r="AD165" s="200">
        <f t="shared" ref="AD165" si="2801">AD162*AD164</f>
        <v>13.387144397201791</v>
      </c>
      <c r="AE165" s="200">
        <f t="shared" ref="AE165" si="2802">AE162*AE164</f>
        <v>11.989853328206962</v>
      </c>
      <c r="AF165" s="200">
        <f t="shared" ref="AF165" si="2803">AF162*AF164</f>
        <v>10.574029603887016</v>
      </c>
      <c r="AG165" s="200">
        <f t="shared" ref="AG165" si="2804">AG162*AG164</f>
        <v>9.139404740756774</v>
      </c>
      <c r="AH165" s="200">
        <f t="shared" ref="AH165" si="2805">AH162*AH164</f>
        <v>7.6857063904233369</v>
      </c>
      <c r="AI165" s="200">
        <f t="shared" ref="AI165" si="2806">AI162*AI164</f>
        <v>6.2126582839250188</v>
      </c>
      <c r="AJ165" s="200">
        <f t="shared" ref="AJ165" si="2807">AJ162*AJ164</f>
        <v>4.7199801752686454</v>
      </c>
      <c r="AK165" s="200">
        <f t="shared" ref="AK165" si="2808">AK162*AK164</f>
        <v>3.2073877841537524</v>
      </c>
      <c r="AL165" s="200">
        <f t="shared" ref="AL165" si="2809">AL162*AL164</f>
        <v>1.674592737871929</v>
      </c>
      <c r="AM165" s="200">
        <f t="shared" ref="AM165" si="2810">AM162*AM164</f>
        <v>0.12130251236944768</v>
      </c>
      <c r="AN165" s="200">
        <f t="shared" ref="AN165" si="2811">AN162*AN164</f>
        <v>0</v>
      </c>
      <c r="AO165" s="200">
        <f t="shared" ref="AO165" si="2812">AO162*AO164</f>
        <v>0</v>
      </c>
      <c r="AP165" s="200">
        <f t="shared" ref="AP165" si="2813">AP162*AP164</f>
        <v>0</v>
      </c>
      <c r="AQ165" s="200">
        <f t="shared" ref="AQ165" si="2814">AQ162*AQ164</f>
        <v>0</v>
      </c>
      <c r="AR165" s="200">
        <f t="shared" ref="AR165" si="2815">AR162*AR164</f>
        <v>0</v>
      </c>
      <c r="AS165" s="200">
        <f t="shared" ref="AS165" si="2816">AS162*AS164</f>
        <v>0</v>
      </c>
      <c r="AT165" s="200">
        <f t="shared" ref="AT165" si="2817">AT162*AT164</f>
        <v>0</v>
      </c>
      <c r="AU165" s="200">
        <f t="shared" ref="AU165" si="2818">AU162*AU164</f>
        <v>0</v>
      </c>
      <c r="AV165" s="200">
        <f t="shared" ref="AV165" si="2819">AV162*AV164</f>
        <v>0</v>
      </c>
      <c r="AW165" s="200">
        <f t="shared" ref="AW165" si="2820">AW162*AW164</f>
        <v>0</v>
      </c>
      <c r="AX165" s="200">
        <f t="shared" ref="AX165" si="2821">AX162*AX164</f>
        <v>0</v>
      </c>
      <c r="AY165" s="200">
        <f t="shared" ref="AY165" si="2822">AY162*AY164</f>
        <v>0</v>
      </c>
      <c r="AZ165" s="200">
        <f t="shared" ref="AZ165" si="2823">AZ162*AZ164</f>
        <v>0</v>
      </c>
      <c r="BA165" s="200">
        <f t="shared" ref="BA165" si="2824">BA162*BA164</f>
        <v>0</v>
      </c>
      <c r="BB165" s="200">
        <f t="shared" ref="BB165" si="2825">BB162*BB164</f>
        <v>0</v>
      </c>
      <c r="BC165" s="200">
        <f t="shared" ref="BC165" si="2826">BC162*BC164</f>
        <v>0</v>
      </c>
      <c r="BD165" s="200">
        <f t="shared" ref="BD165" si="2827">BD162*BD164</f>
        <v>0</v>
      </c>
      <c r="BE165" s="200">
        <f t="shared" ref="BE165" si="2828">BE162*BE164</f>
        <v>0</v>
      </c>
      <c r="BF165" s="200">
        <f t="shared" ref="BF165" si="2829">BF162*BF164</f>
        <v>0</v>
      </c>
      <c r="BG165" s="200">
        <f t="shared" ref="BG165" si="2830">BG162*BG164</f>
        <v>0</v>
      </c>
      <c r="BH165" s="200">
        <f t="shared" ref="BH165" si="2831">BH162*BH164</f>
        <v>0</v>
      </c>
      <c r="BI165" s="200">
        <f t="shared" ref="BI165" si="2832">BI162*BI164</f>
        <v>0</v>
      </c>
      <c r="BJ165" s="200">
        <f t="shared" ref="BJ165" si="2833">BJ162*BJ164</f>
        <v>0</v>
      </c>
      <c r="BK165" s="200">
        <f t="shared" ref="BK165" si="2834">BK162*BK164</f>
        <v>0</v>
      </c>
    </row>
    <row r="166" spans="1:63" ht="7.8" x14ac:dyDescent="0.15">
      <c r="A166" s="206" t="s">
        <v>97</v>
      </c>
      <c r="B166" s="192"/>
      <c r="C166" s="192"/>
      <c r="D166" s="192"/>
      <c r="E166" s="192"/>
      <c r="F166" s="192"/>
      <c r="G166" s="192"/>
      <c r="H166" s="192"/>
      <c r="I166" s="192"/>
      <c r="J166" s="192"/>
      <c r="K166" s="192"/>
      <c r="L166" s="192"/>
      <c r="M166" s="192"/>
      <c r="N166" s="192"/>
      <c r="O166" s="192"/>
      <c r="P166" s="192"/>
      <c r="Q166" s="192"/>
      <c r="R166" s="192"/>
      <c r="S166" s="192"/>
      <c r="T166" s="192"/>
      <c r="U166" s="223">
        <f>U163*U164</f>
        <v>131.67724718001386</v>
      </c>
      <c r="V166" s="200">
        <f>V163*V164</f>
        <v>133.57356413596503</v>
      </c>
      <c r="W166" s="200">
        <f t="shared" ref="W166:BK166" si="2835">W163*W164</f>
        <v>135.49719042647811</v>
      </c>
      <c r="X166" s="200">
        <f t="shared" si="2835"/>
        <v>137.44851934010742</v>
      </c>
      <c r="Y166" s="200">
        <f t="shared" si="2835"/>
        <v>83.656769897552493</v>
      </c>
      <c r="Z166" s="200">
        <f t="shared" si="2835"/>
        <v>84.861531955039638</v>
      </c>
      <c r="AA166" s="200">
        <f t="shared" si="2835"/>
        <v>86.083644092107136</v>
      </c>
      <c r="AB166" s="200">
        <f t="shared" si="2835"/>
        <v>87.323356171588586</v>
      </c>
      <c r="AC166" s="200">
        <f t="shared" si="2835"/>
        <v>88.580921654654674</v>
      </c>
      <c r="AD166" s="200">
        <f t="shared" si="2835"/>
        <v>89.856597652633752</v>
      </c>
      <c r="AE166" s="200">
        <f t="shared" si="2835"/>
        <v>91.150644979578743</v>
      </c>
      <c r="AF166" s="200">
        <f t="shared" si="2835"/>
        <v>92.463328205590912</v>
      </c>
      <c r="AG166" s="200">
        <f t="shared" si="2835"/>
        <v>93.794915710911667</v>
      </c>
      <c r="AH166" s="200">
        <f t="shared" si="2835"/>
        <v>95.14567974079344</v>
      </c>
      <c r="AI166" s="200">
        <f t="shared" si="2835"/>
        <v>96.515896461160551</v>
      </c>
      <c r="AJ166" s="200">
        <f t="shared" si="2835"/>
        <v>97.905846015071845</v>
      </c>
      <c r="AK166" s="200">
        <f t="shared" si="2835"/>
        <v>99.315812579996404</v>
      </c>
      <c r="AL166" s="200">
        <f t="shared" si="2835"/>
        <v>100.74608442591409</v>
      </c>
      <c r="AM166" s="200">
        <f t="shared" si="2835"/>
        <v>102.19695397425278</v>
      </c>
      <c r="AN166" s="200">
        <f t="shared" si="2835"/>
        <v>0</v>
      </c>
      <c r="AO166" s="200">
        <f t="shared" si="2835"/>
        <v>0</v>
      </c>
      <c r="AP166" s="200">
        <f t="shared" si="2835"/>
        <v>0</v>
      </c>
      <c r="AQ166" s="200">
        <f t="shared" si="2835"/>
        <v>0</v>
      </c>
      <c r="AR166" s="200">
        <f t="shared" si="2835"/>
        <v>0</v>
      </c>
      <c r="AS166" s="200">
        <f t="shared" si="2835"/>
        <v>0</v>
      </c>
      <c r="AT166" s="200">
        <f t="shared" si="2835"/>
        <v>0</v>
      </c>
      <c r="AU166" s="200">
        <f t="shared" si="2835"/>
        <v>0</v>
      </c>
      <c r="AV166" s="200">
        <f t="shared" si="2835"/>
        <v>0</v>
      </c>
      <c r="AW166" s="200">
        <f t="shared" si="2835"/>
        <v>0</v>
      </c>
      <c r="AX166" s="200">
        <f t="shared" si="2835"/>
        <v>0</v>
      </c>
      <c r="AY166" s="200">
        <f t="shared" si="2835"/>
        <v>0</v>
      </c>
      <c r="AZ166" s="200">
        <f t="shared" si="2835"/>
        <v>0</v>
      </c>
      <c r="BA166" s="200">
        <f t="shared" si="2835"/>
        <v>0</v>
      </c>
      <c r="BB166" s="200">
        <f t="shared" si="2835"/>
        <v>0</v>
      </c>
      <c r="BC166" s="200">
        <f t="shared" si="2835"/>
        <v>0</v>
      </c>
      <c r="BD166" s="200">
        <f t="shared" si="2835"/>
        <v>0</v>
      </c>
      <c r="BE166" s="200">
        <f t="shared" si="2835"/>
        <v>0</v>
      </c>
      <c r="BF166" s="200">
        <f t="shared" si="2835"/>
        <v>0</v>
      </c>
      <c r="BG166" s="200">
        <f t="shared" si="2835"/>
        <v>0</v>
      </c>
      <c r="BH166" s="200">
        <f t="shared" si="2835"/>
        <v>0</v>
      </c>
      <c r="BI166" s="200">
        <f t="shared" si="2835"/>
        <v>0</v>
      </c>
      <c r="BJ166" s="200">
        <f t="shared" si="2835"/>
        <v>0</v>
      </c>
      <c r="BK166" s="200">
        <f t="shared" si="2835"/>
        <v>0</v>
      </c>
    </row>
    <row r="167" spans="1:63" ht="7.8" x14ac:dyDescent="0.15">
      <c r="A167" s="208" t="s">
        <v>203</v>
      </c>
      <c r="B167" s="192"/>
      <c r="C167" s="192"/>
      <c r="D167" s="192"/>
      <c r="E167" s="192"/>
      <c r="F167" s="192"/>
      <c r="G167" s="192"/>
      <c r="H167" s="192"/>
      <c r="I167" s="192"/>
      <c r="J167" s="192"/>
      <c r="K167" s="192"/>
      <c r="L167" s="192"/>
      <c r="M167" s="192"/>
      <c r="N167" s="192"/>
      <c r="O167" s="192"/>
      <c r="P167" s="192"/>
      <c r="Q167" s="192"/>
      <c r="R167" s="192"/>
      <c r="S167" s="192"/>
      <c r="T167" s="192"/>
      <c r="U167" s="224">
        <f>IF(U159-101&lt;&gt;LoanSaleHeld,0,SUM($D166:U166)*LoanSalePercent)</f>
        <v>0</v>
      </c>
      <c r="V167" s="225">
        <f>IF(V159-101&lt;&gt;LoanSaleHeld,0,SUM($D166:V166)*LoanSalePercent)</f>
        <v>0</v>
      </c>
      <c r="W167" s="225">
        <f>IF(W159-101&lt;&gt;LoanSaleHeld,0,SUM($D166:W166)*LoanSalePercent)</f>
        <v>0</v>
      </c>
      <c r="X167" s="225">
        <f>IF(X159-101&lt;&gt;LoanSaleHeld,0,SUM($D166:X166)*LoanSalePercent)</f>
        <v>215.27860843302579</v>
      </c>
      <c r="Y167" s="225">
        <f>IF(Y159-101&lt;&gt;LoanSaleHeld,0,SUM($D166:Y166)*LoanSalePercent)</f>
        <v>0</v>
      </c>
      <c r="Z167" s="225">
        <f>IF(Z159-101&lt;&gt;LoanSaleHeld,0,SUM($D166:Z166)*LoanSalePercent)</f>
        <v>0</v>
      </c>
      <c r="AA167" s="225">
        <f>IF(AA159-101&lt;&gt;LoanSaleHeld,0,SUM($D166:AA166)*LoanSalePercent)</f>
        <v>0</v>
      </c>
      <c r="AB167" s="225">
        <f>IF(AB159-101&lt;&gt;LoanSaleHeld,0,SUM($D166:AB166)*LoanSalePercent)</f>
        <v>0</v>
      </c>
      <c r="AC167" s="225">
        <f>IF(AC159-101&lt;&gt;LoanSaleHeld,0,SUM($D166:AC166)*LoanSalePercent)</f>
        <v>0</v>
      </c>
      <c r="AD167" s="225">
        <f>IF(AD159-101&lt;&gt;LoanSaleHeld,0,SUM($D166:AD166)*LoanSalePercent)</f>
        <v>0</v>
      </c>
      <c r="AE167" s="225">
        <f>IF(AE159-101&lt;&gt;LoanSaleHeld,0,SUM($D166:AE166)*LoanSalePercent)</f>
        <v>0</v>
      </c>
      <c r="AF167" s="225">
        <f>IF(AF159-101&lt;&gt;LoanSaleHeld,0,SUM($D166:AF166)*LoanSalePercent)</f>
        <v>0</v>
      </c>
      <c r="AG167" s="225">
        <f>IF(AG159-101&lt;&gt;LoanSaleHeld,0,SUM($D166:AG166)*LoanSalePercent)</f>
        <v>0</v>
      </c>
      <c r="AH167" s="225">
        <f>IF(AH159-101&lt;&gt;LoanSaleHeld,0,SUM($D166:AH166)*LoanSalePercent)</f>
        <v>0</v>
      </c>
      <c r="AI167" s="225">
        <f>IF(AI159-101&lt;&gt;LoanSaleHeld,0,SUM($D166:AI166)*LoanSalePercent)</f>
        <v>0</v>
      </c>
      <c r="AJ167" s="225">
        <f>IF(AJ159-101&lt;&gt;LoanSaleHeld,0,SUM($D166:AJ166)*LoanSalePercent)</f>
        <v>0</v>
      </c>
      <c r="AK167" s="225">
        <f>IF(AK159-101&lt;&gt;LoanSaleHeld,0,SUM($D166:AK166)*LoanSalePercent)</f>
        <v>0</v>
      </c>
      <c r="AL167" s="225">
        <f>IF(AL159-101&lt;&gt;LoanSaleHeld,0,SUM($D166:AL166)*LoanSalePercent)</f>
        <v>0</v>
      </c>
      <c r="AM167" s="225">
        <f>IF(AM159-101&lt;&gt;LoanSaleHeld,0,SUM($D166:AM166)*LoanSalePercent)</f>
        <v>0</v>
      </c>
      <c r="AN167" s="225">
        <f>IF(AN159-101&lt;&gt;LoanSaleHeld,0,SUM($D166:AN166)*LoanSalePercent)</f>
        <v>0</v>
      </c>
      <c r="AO167" s="225">
        <f>IF(AO159-101&lt;&gt;LoanSaleHeld,0,SUM($D166:AO166)*LoanSalePercent)</f>
        <v>0</v>
      </c>
      <c r="AP167" s="225">
        <f>IF(AP159-101&lt;&gt;LoanSaleHeld,0,SUM($D166:AP166)*LoanSalePercent)</f>
        <v>0</v>
      </c>
      <c r="AQ167" s="225">
        <f>IF(AQ159-101&lt;&gt;LoanSaleHeld,0,SUM($D166:AQ166)*LoanSalePercent)</f>
        <v>0</v>
      </c>
      <c r="AR167" s="225">
        <f>IF(AR159-101&lt;&gt;LoanSaleHeld,0,SUM($D166:AR166)*LoanSalePercent)</f>
        <v>0</v>
      </c>
      <c r="AS167" s="225">
        <f>IF(AS159-101&lt;&gt;LoanSaleHeld,0,SUM($D166:AS166)*LoanSalePercent)</f>
        <v>0</v>
      </c>
      <c r="AT167" s="225">
        <f>IF(AT159-101&lt;&gt;LoanSaleHeld,0,SUM($D166:AT166)*LoanSalePercent)</f>
        <v>0</v>
      </c>
      <c r="AU167" s="225">
        <f>IF(AU159-101&lt;&gt;LoanSaleHeld,0,SUM($D166:AU166)*LoanSalePercent)</f>
        <v>0</v>
      </c>
      <c r="AV167" s="225">
        <f>IF(AV159-101&lt;&gt;LoanSaleHeld,0,SUM($D166:AV166)*LoanSalePercent)</f>
        <v>0</v>
      </c>
      <c r="AW167" s="225">
        <f>IF(AW159-101&lt;&gt;LoanSaleHeld,0,SUM($D166:AW166)*LoanSalePercent)</f>
        <v>0</v>
      </c>
      <c r="AX167" s="225">
        <f>IF(AX159-101&lt;&gt;LoanSaleHeld,0,SUM($D166:AX166)*LoanSalePercent)</f>
        <v>0</v>
      </c>
      <c r="AY167" s="225">
        <f>IF(AY159-101&lt;&gt;LoanSaleHeld,0,SUM($D166:AY166)*LoanSalePercent)</f>
        <v>0</v>
      </c>
      <c r="AZ167" s="225">
        <f>IF(AZ159-101&lt;&gt;LoanSaleHeld,0,SUM($D166:AZ166)*LoanSalePercent)</f>
        <v>0</v>
      </c>
      <c r="BA167" s="225">
        <f>IF(BA159-101&lt;&gt;LoanSaleHeld,0,SUM($D166:BA166)*LoanSalePercent)</f>
        <v>0</v>
      </c>
      <c r="BB167" s="225">
        <f>IF(BB159-101&lt;&gt;LoanSaleHeld,0,SUM($D166:BB166)*LoanSalePercent)</f>
        <v>0</v>
      </c>
      <c r="BC167" s="225">
        <f>IF(BC159-101&lt;&gt;LoanSaleHeld,0,SUM($D166:BC166)*LoanSalePercent)</f>
        <v>0</v>
      </c>
      <c r="BD167" s="225">
        <f>IF(BD159-101&lt;&gt;LoanSaleHeld,0,SUM($D166:BD166)*LoanSalePercent)</f>
        <v>0</v>
      </c>
      <c r="BE167" s="225">
        <f>IF(BE159-101&lt;&gt;LoanSaleHeld,0,SUM($D166:BE166)*LoanSalePercent)</f>
        <v>0</v>
      </c>
      <c r="BF167" s="225">
        <f>IF(BF159-101&lt;&gt;LoanSaleHeld,0,SUM($D166:BF166)*LoanSalePercent)</f>
        <v>0</v>
      </c>
      <c r="BG167" s="225">
        <f>IF(BG159-101&lt;&gt;LoanSaleHeld,0,SUM($D166:BG166)*LoanSalePercent)</f>
        <v>0</v>
      </c>
      <c r="BH167" s="225">
        <f>IF(BH159-101&lt;&gt;LoanSaleHeld,0,SUM($D166:BH166)*LoanSalePercent)</f>
        <v>0</v>
      </c>
      <c r="BI167" s="225">
        <f>IF(BI159-101&lt;&gt;LoanSaleHeld,0,SUM($D166:BI166)*LoanSalePercent)</f>
        <v>0</v>
      </c>
      <c r="BJ167" s="225">
        <f>IF(BJ159-101&lt;&gt;LoanSaleHeld,0,SUM($D166:BJ166)*LoanSalePercent)</f>
        <v>0</v>
      </c>
      <c r="BK167" s="225">
        <f>IF(BK159-101&lt;&gt;LoanSaleHeld,0,SUM($D166:BK166)*LoanSalePercent)</f>
        <v>0</v>
      </c>
    </row>
    <row r="168" spans="1:63" ht="7.8" x14ac:dyDescent="0.15">
      <c r="A168" s="204">
        <f t="shared" ref="A168" si="2836">A159+1</f>
        <v>19</v>
      </c>
      <c r="B168" s="192"/>
      <c r="C168" s="192"/>
      <c r="D168" s="192"/>
      <c r="E168" s="192"/>
      <c r="F168" s="192"/>
      <c r="G168" s="192"/>
      <c r="H168" s="192"/>
      <c r="I168" s="192"/>
      <c r="J168" s="192"/>
      <c r="K168" s="192"/>
      <c r="L168" s="192"/>
      <c r="M168" s="192"/>
      <c r="N168" s="192"/>
      <c r="O168" s="192"/>
      <c r="P168" s="192"/>
      <c r="Q168" s="192"/>
      <c r="R168" s="192"/>
      <c r="S168" s="192"/>
      <c r="T168" s="192"/>
      <c r="U168" s="192"/>
      <c r="V168" s="195">
        <v>101</v>
      </c>
      <c r="W168" s="196">
        <f t="shared" ref="W168" si="2837">IF(W169=0,0,V168+1)</f>
        <v>102</v>
      </c>
      <c r="X168" s="196">
        <f t="shared" ref="X168" si="2838">IF(X169=0,0,W168+1)</f>
        <v>103</v>
      </c>
      <c r="Y168" s="196">
        <f t="shared" ref="Y168" si="2839">IF(Y169=0,0,X168+1)</f>
        <v>104</v>
      </c>
      <c r="Z168" s="196">
        <f t="shared" ref="Z168" si="2840">IF(Z169=0,0,Y168+1)</f>
        <v>105</v>
      </c>
      <c r="AA168" s="196">
        <f t="shared" ref="AA168" si="2841">IF(AA169=0,0,Z168+1)</f>
        <v>106</v>
      </c>
      <c r="AB168" s="196">
        <f t="shared" ref="AB168" si="2842">IF(AB169=0,0,AA168+1)</f>
        <v>107</v>
      </c>
      <c r="AC168" s="196">
        <f t="shared" ref="AC168" si="2843">IF(AC169=0,0,AB168+1)</f>
        <v>108</v>
      </c>
      <c r="AD168" s="196">
        <f t="shared" ref="AD168" si="2844">IF(AD169=0,0,AC168+1)</f>
        <v>109</v>
      </c>
      <c r="AE168" s="196">
        <f t="shared" ref="AE168" si="2845">IF(AE169=0,0,AD168+1)</f>
        <v>110</v>
      </c>
      <c r="AF168" s="196">
        <f t="shared" ref="AF168" si="2846">IF(AF169=0,0,AE168+1)</f>
        <v>111</v>
      </c>
      <c r="AG168" s="196">
        <f t="shared" ref="AG168" si="2847">IF(AG169=0,0,AF168+1)</f>
        <v>112</v>
      </c>
      <c r="AH168" s="196">
        <f t="shared" ref="AH168" si="2848">IF(AH169=0,0,AG168+1)</f>
        <v>113</v>
      </c>
      <c r="AI168" s="196">
        <f t="shared" ref="AI168" si="2849">IF(AI169=0,0,AH168+1)</f>
        <v>114</v>
      </c>
      <c r="AJ168" s="196">
        <f t="shared" ref="AJ168" si="2850">IF(AJ169=0,0,AI168+1)</f>
        <v>115</v>
      </c>
      <c r="AK168" s="196">
        <f t="shared" ref="AK168" si="2851">IF(AK169=0,0,AJ168+1)</f>
        <v>116</v>
      </c>
      <c r="AL168" s="196">
        <f t="shared" ref="AL168" si="2852">IF(AL169=0,0,AK168+1)</f>
        <v>117</v>
      </c>
      <c r="AM168" s="196">
        <f t="shared" ref="AM168" si="2853">IF(AM169=0,0,AL168+1)</f>
        <v>118</v>
      </c>
      <c r="AN168" s="196">
        <f t="shared" ref="AN168" si="2854">IF(AN169=0,0,AM168+1)</f>
        <v>119</v>
      </c>
      <c r="AO168" s="196">
        <f t="shared" ref="AO168" si="2855">IF(AO169=0,0,AN168+1)</f>
        <v>0</v>
      </c>
      <c r="AP168" s="196">
        <f t="shared" ref="AP168" si="2856">IF(AP169=0,0,AO168+1)</f>
        <v>0</v>
      </c>
      <c r="AQ168" s="196">
        <f t="shared" ref="AQ168" si="2857">IF(AQ169=0,0,AP168+1)</f>
        <v>0</v>
      </c>
      <c r="AR168" s="196">
        <f t="shared" ref="AR168" si="2858">IF(AR169=0,0,AQ168+1)</f>
        <v>0</v>
      </c>
      <c r="AS168" s="196">
        <f t="shared" ref="AS168" si="2859">IF(AS169=0,0,AR168+1)</f>
        <v>0</v>
      </c>
      <c r="AT168" s="196">
        <f t="shared" ref="AT168" si="2860">IF(AT169=0,0,AS168+1)</f>
        <v>0</v>
      </c>
      <c r="AU168" s="196">
        <f t="shared" ref="AU168" si="2861">IF(AU169=0,0,AT168+1)</f>
        <v>0</v>
      </c>
      <c r="AV168" s="196">
        <f t="shared" ref="AV168" si="2862">IF(AV169=0,0,AU168+1)</f>
        <v>0</v>
      </c>
      <c r="AW168" s="196">
        <f t="shared" ref="AW168" si="2863">IF(AW169=0,0,AV168+1)</f>
        <v>0</v>
      </c>
      <c r="AX168" s="196">
        <f t="shared" ref="AX168" si="2864">IF(AX169=0,0,AW168+1)</f>
        <v>0</v>
      </c>
      <c r="AY168" s="196">
        <f t="shared" ref="AY168" si="2865">IF(AY169=0,0,AX168+1)</f>
        <v>0</v>
      </c>
      <c r="AZ168" s="196">
        <f t="shared" ref="AZ168" si="2866">IF(AZ169=0,0,AY168+1)</f>
        <v>0</v>
      </c>
      <c r="BA168" s="196">
        <f t="shared" ref="BA168" si="2867">IF(BA169=0,0,AZ168+1)</f>
        <v>0</v>
      </c>
      <c r="BB168" s="196">
        <f t="shared" ref="BB168" si="2868">IF(BB169=0,0,BA168+1)</f>
        <v>0</v>
      </c>
      <c r="BC168" s="196">
        <f t="shared" ref="BC168" si="2869">IF(BC169=0,0,BB168+1)</f>
        <v>0</v>
      </c>
      <c r="BD168" s="196">
        <f t="shared" ref="BD168" si="2870">IF(BD169=0,0,BC168+1)</f>
        <v>0</v>
      </c>
      <c r="BE168" s="196">
        <f t="shared" ref="BE168" si="2871">IF(BE169=0,0,BD168+1)</f>
        <v>0</v>
      </c>
      <c r="BF168" s="196">
        <f t="shared" ref="BF168" si="2872">IF(BF169=0,0,BE168+1)</f>
        <v>0</v>
      </c>
      <c r="BG168" s="196">
        <f t="shared" ref="BG168" si="2873">IF(BG169=0,0,BF168+1)</f>
        <v>0</v>
      </c>
      <c r="BH168" s="196">
        <f t="shared" ref="BH168" si="2874">IF(BH169=0,0,BG168+1)</f>
        <v>0</v>
      </c>
      <c r="BI168" s="196">
        <f t="shared" ref="BI168" si="2875">IF(BI169=0,0,BH168+1)</f>
        <v>0</v>
      </c>
      <c r="BJ168" s="196">
        <f t="shared" ref="BJ168" si="2876">IF(BJ169=0,0,BI168+1)</f>
        <v>0</v>
      </c>
      <c r="BK168" s="196">
        <f t="shared" ref="BK168" si="2877">IF(BK169=0,0,BJ168+1)</f>
        <v>0</v>
      </c>
    </row>
    <row r="169" spans="1:63" ht="7.8" x14ac:dyDescent="0.15">
      <c r="A169" s="216" t="s">
        <v>178</v>
      </c>
      <c r="B169" s="192"/>
      <c r="C169" s="192"/>
      <c r="D169" s="192"/>
      <c r="E169" s="192"/>
      <c r="F169" s="192"/>
      <c r="G169" s="192"/>
      <c r="H169" s="192"/>
      <c r="I169" s="192"/>
      <c r="J169" s="192"/>
      <c r="K169" s="192"/>
      <c r="L169" s="192"/>
      <c r="M169" s="192"/>
      <c r="N169" s="192"/>
      <c r="O169" s="192"/>
      <c r="P169" s="192"/>
      <c r="Q169" s="192"/>
      <c r="R169" s="192"/>
      <c r="S169" s="192"/>
      <c r="T169" s="192"/>
      <c r="U169" s="192"/>
      <c r="V169" s="217">
        <f>LoanSize</f>
        <v>25</v>
      </c>
      <c r="W169" s="215">
        <f>IF(V169-V172&lt;=0.1,0,V169-V172)</f>
        <v>23.79027212253634</v>
      </c>
      <c r="X169" s="215">
        <f t="shared" ref="X169:BK169" si="2878">IF(W169-W172&lt;=0.1,0,W169-W172)</f>
        <v>22.56189427362845</v>
      </c>
      <c r="Y169" s="215">
        <f t="shared" si="2878"/>
        <v>21.314578932883229</v>
      </c>
      <c r="Z169" s="215">
        <f t="shared" si="2878"/>
        <v>20.048034147301522</v>
      </c>
      <c r="AA169" s="215">
        <f t="shared" si="2878"/>
        <v>18.761963462942095</v>
      </c>
      <c r="AB169" s="215">
        <f t="shared" si="2878"/>
        <v>17.456065855532128</v>
      </c>
      <c r="AC169" s="215">
        <f t="shared" si="2878"/>
        <v>16.130035660007923</v>
      </c>
      <c r="AD169" s="215">
        <f t="shared" si="2878"/>
        <v>14.783562498969387</v>
      </c>
      <c r="AE169" s="215">
        <f t="shared" si="2878"/>
        <v>13.416331210031506</v>
      </c>
      <c r="AF169" s="215">
        <f t="shared" si="2878"/>
        <v>12.028021772055833</v>
      </c>
      <c r="AG169" s="215">
        <f t="shared" si="2878"/>
        <v>10.618309230244702</v>
      </c>
      <c r="AH169" s="215">
        <f t="shared" si="2878"/>
        <v>9.1868636200806488</v>
      </c>
      <c r="AI169" s="215">
        <f t="shared" si="2878"/>
        <v>7.7333498900932334</v>
      </c>
      <c r="AJ169" s="215">
        <f t="shared" si="2878"/>
        <v>6.2574278234351794</v>
      </c>
      <c r="AK169" s="215">
        <f t="shared" si="2878"/>
        <v>4.7587519582494799</v>
      </c>
      <c r="AL169" s="215">
        <f t="shared" si="2878"/>
        <v>3.2369715068088345</v>
      </c>
      <c r="AM169" s="215">
        <f t="shared" si="2878"/>
        <v>1.6917302734084789</v>
      </c>
      <c r="AN169" s="215">
        <f t="shared" si="2878"/>
        <v>0.12266657099320111</v>
      </c>
      <c r="AO169" s="215">
        <f t="shared" si="2878"/>
        <v>0</v>
      </c>
      <c r="AP169" s="215">
        <f t="shared" si="2878"/>
        <v>0</v>
      </c>
      <c r="AQ169" s="215">
        <f t="shared" si="2878"/>
        <v>0</v>
      </c>
      <c r="AR169" s="215">
        <f t="shared" si="2878"/>
        <v>0</v>
      </c>
      <c r="AS169" s="215">
        <f t="shared" si="2878"/>
        <v>0</v>
      </c>
      <c r="AT169" s="215">
        <f t="shared" si="2878"/>
        <v>0</v>
      </c>
      <c r="AU169" s="215">
        <f t="shared" si="2878"/>
        <v>0</v>
      </c>
      <c r="AV169" s="215">
        <f t="shared" si="2878"/>
        <v>0</v>
      </c>
      <c r="AW169" s="215">
        <f t="shared" si="2878"/>
        <v>0</v>
      </c>
      <c r="AX169" s="215">
        <f t="shared" si="2878"/>
        <v>0</v>
      </c>
      <c r="AY169" s="215">
        <f t="shared" si="2878"/>
        <v>0</v>
      </c>
      <c r="AZ169" s="215">
        <f t="shared" si="2878"/>
        <v>0</v>
      </c>
      <c r="BA169" s="215">
        <f t="shared" si="2878"/>
        <v>0</v>
      </c>
      <c r="BB169" s="215">
        <f t="shared" si="2878"/>
        <v>0</v>
      </c>
      <c r="BC169" s="215">
        <f t="shared" si="2878"/>
        <v>0</v>
      </c>
      <c r="BD169" s="215">
        <f t="shared" si="2878"/>
        <v>0</v>
      </c>
      <c r="BE169" s="215">
        <f t="shared" si="2878"/>
        <v>0</v>
      </c>
      <c r="BF169" s="215">
        <f t="shared" si="2878"/>
        <v>0</v>
      </c>
      <c r="BG169" s="215">
        <f t="shared" si="2878"/>
        <v>0</v>
      </c>
      <c r="BH169" s="215">
        <f t="shared" si="2878"/>
        <v>0</v>
      </c>
      <c r="BI169" s="215">
        <f t="shared" si="2878"/>
        <v>0</v>
      </c>
      <c r="BJ169" s="215">
        <f t="shared" si="2878"/>
        <v>0</v>
      </c>
      <c r="BK169" s="215">
        <f t="shared" si="2878"/>
        <v>0</v>
      </c>
    </row>
    <row r="170" spans="1:63" ht="7.8" x14ac:dyDescent="0.15">
      <c r="A170" s="218" t="s">
        <v>179</v>
      </c>
      <c r="B170" s="192"/>
      <c r="C170" s="192"/>
      <c r="D170" s="192"/>
      <c r="E170" s="192"/>
      <c r="F170" s="192"/>
      <c r="G170" s="192"/>
      <c r="H170" s="192"/>
      <c r="I170" s="192"/>
      <c r="J170" s="192"/>
      <c r="K170" s="192"/>
      <c r="L170" s="192"/>
      <c r="M170" s="192"/>
      <c r="N170" s="192"/>
      <c r="O170" s="192"/>
      <c r="P170" s="192"/>
      <c r="Q170" s="192"/>
      <c r="R170" s="192"/>
      <c r="S170" s="192"/>
      <c r="T170" s="192"/>
      <c r="U170" s="192"/>
      <c r="V170" s="219">
        <f>IF(V169=0,0,PMT(INDEX(LoanCohortRate,1),LoanTerm, -LoanSize))</f>
        <v>1.5951445441303251</v>
      </c>
      <c r="W170" s="222">
        <f t="shared" ref="W170" si="2879">IF(W169=0,0, V170)</f>
        <v>1.5951445441303251</v>
      </c>
      <c r="X170" s="222">
        <f t="shared" ref="X170" si="2880">IF(X169=0,0, W170)</f>
        <v>1.5951445441303251</v>
      </c>
      <c r="Y170" s="222">
        <f t="shared" ref="Y170" si="2881">IF(Y169=0,0, X170)</f>
        <v>1.5951445441303251</v>
      </c>
      <c r="Z170" s="222">
        <f t="shared" ref="Z170" si="2882">IF(Z169=0,0, Y170)</f>
        <v>1.5951445441303251</v>
      </c>
      <c r="AA170" s="222">
        <f t="shared" ref="AA170" si="2883">IF(AA169=0,0, Z170)</f>
        <v>1.5951445441303251</v>
      </c>
      <c r="AB170" s="222">
        <f t="shared" ref="AB170" si="2884">IF(AB169=0,0, AA170)</f>
        <v>1.5951445441303251</v>
      </c>
      <c r="AC170" s="222">
        <f t="shared" ref="AC170" si="2885">IF(AC169=0,0, AB170)</f>
        <v>1.5951445441303251</v>
      </c>
      <c r="AD170" s="222">
        <f t="shared" ref="AD170" si="2886">IF(AD169=0,0, AC170)</f>
        <v>1.5951445441303251</v>
      </c>
      <c r="AE170" s="222">
        <f t="shared" ref="AE170" si="2887">IF(AE169=0,0, AD170)</f>
        <v>1.5951445441303251</v>
      </c>
      <c r="AF170" s="222">
        <f t="shared" ref="AF170" si="2888">IF(AF169=0,0, AE170)</f>
        <v>1.5951445441303251</v>
      </c>
      <c r="AG170" s="222">
        <f t="shared" ref="AG170" si="2889">IF(AG169=0,0, AF170)</f>
        <v>1.5951445441303251</v>
      </c>
      <c r="AH170" s="222">
        <f t="shared" ref="AH170" si="2890">IF(AH169=0,0, AG170)</f>
        <v>1.5951445441303251</v>
      </c>
      <c r="AI170" s="222">
        <f t="shared" ref="AI170" si="2891">IF(AI169=0,0, AH170)</f>
        <v>1.5951445441303251</v>
      </c>
      <c r="AJ170" s="222">
        <f t="shared" ref="AJ170" si="2892">IF(AJ169=0,0, AI170)</f>
        <v>1.5951445441303251</v>
      </c>
      <c r="AK170" s="222">
        <f t="shared" ref="AK170" si="2893">IF(AK169=0,0, AJ170)</f>
        <v>1.5951445441303251</v>
      </c>
      <c r="AL170" s="222">
        <f t="shared" ref="AL170" si="2894">IF(AL169=0,0, AK170)</f>
        <v>1.5951445441303251</v>
      </c>
      <c r="AM170" s="222">
        <f t="shared" ref="AM170" si="2895">IF(AM169=0,0, AL170)</f>
        <v>1.5951445441303251</v>
      </c>
      <c r="AN170" s="222">
        <f t="shared" ref="AN170" si="2896">IF(AN169=0,0, AM170)</f>
        <v>1.5951445441303251</v>
      </c>
      <c r="AO170" s="222">
        <f t="shared" ref="AO170" si="2897">IF(AO169=0,0, AN170)</f>
        <v>0</v>
      </c>
      <c r="AP170" s="222">
        <f t="shared" ref="AP170" si="2898">IF(AP169=0,0, AO170)</f>
        <v>0</v>
      </c>
      <c r="AQ170" s="222">
        <f t="shared" ref="AQ170" si="2899">IF(AQ169=0,0, AP170)</f>
        <v>0</v>
      </c>
      <c r="AR170" s="222">
        <f t="shared" ref="AR170" si="2900">IF(AR169=0,0, AQ170)</f>
        <v>0</v>
      </c>
      <c r="AS170" s="222">
        <f t="shared" ref="AS170" si="2901">IF(AS169=0,0, AR170)</f>
        <v>0</v>
      </c>
      <c r="AT170" s="222">
        <f t="shared" ref="AT170" si="2902">IF(AT169=0,0, AS170)</f>
        <v>0</v>
      </c>
      <c r="AU170" s="222">
        <f t="shared" ref="AU170" si="2903">IF(AU169=0,0, AT170)</f>
        <v>0</v>
      </c>
      <c r="AV170" s="222">
        <f t="shared" ref="AV170" si="2904">IF(AV169=0,0, AU170)</f>
        <v>0</v>
      </c>
      <c r="AW170" s="222">
        <f t="shared" ref="AW170" si="2905">IF(AW169=0,0, AV170)</f>
        <v>0</v>
      </c>
      <c r="AX170" s="222">
        <f t="shared" ref="AX170" si="2906">IF(AX169=0,0, AW170)</f>
        <v>0</v>
      </c>
      <c r="AY170" s="222">
        <f t="shared" ref="AY170" si="2907">IF(AY169=0,0, AX170)</f>
        <v>0</v>
      </c>
      <c r="AZ170" s="222">
        <f t="shared" ref="AZ170" si="2908">IF(AZ169=0,0, AY170)</f>
        <v>0</v>
      </c>
      <c r="BA170" s="222">
        <f t="shared" ref="BA170" si="2909">IF(BA169=0,0, AZ170)</f>
        <v>0</v>
      </c>
      <c r="BB170" s="222">
        <f t="shared" ref="BB170" si="2910">IF(BB169=0,0, BA170)</f>
        <v>0</v>
      </c>
      <c r="BC170" s="222">
        <f t="shared" ref="BC170" si="2911">IF(BC169=0,0, BB170)</f>
        <v>0</v>
      </c>
      <c r="BD170" s="222">
        <f t="shared" ref="BD170" si="2912">IF(BD169=0,0, BC170)</f>
        <v>0</v>
      </c>
      <c r="BE170" s="222">
        <f t="shared" ref="BE170" si="2913">IF(BE169=0,0, BD170)</f>
        <v>0</v>
      </c>
      <c r="BF170" s="222">
        <f t="shared" ref="BF170" si="2914">IF(BF169=0,0, BE170)</f>
        <v>0</v>
      </c>
      <c r="BG170" s="222">
        <f t="shared" ref="BG170" si="2915">IF(BG169=0,0, BF170)</f>
        <v>0</v>
      </c>
      <c r="BH170" s="222">
        <f t="shared" ref="BH170" si="2916">IF(BH169=0,0, BG170)</f>
        <v>0</v>
      </c>
      <c r="BI170" s="222">
        <f t="shared" ref="BI170" si="2917">IF(BI169=0,0, BH170)</f>
        <v>0</v>
      </c>
      <c r="BJ170" s="222">
        <f t="shared" ref="BJ170" si="2918">IF(BJ169=0,0, BI170)</f>
        <v>0</v>
      </c>
      <c r="BK170" s="222">
        <f t="shared" ref="BK170" si="2919">IF(BK169=0,0, BJ170)</f>
        <v>0</v>
      </c>
    </row>
    <row r="171" spans="1:63" ht="7.8" x14ac:dyDescent="0.15">
      <c r="A171" s="218" t="s">
        <v>180</v>
      </c>
      <c r="B171" s="192"/>
      <c r="C171" s="192"/>
      <c r="D171" s="192"/>
      <c r="E171" s="192"/>
      <c r="F171" s="192"/>
      <c r="G171" s="192"/>
      <c r="H171" s="192"/>
      <c r="I171" s="192"/>
      <c r="J171" s="192"/>
      <c r="K171" s="192"/>
      <c r="L171" s="192"/>
      <c r="M171" s="192"/>
      <c r="N171" s="192"/>
      <c r="O171" s="192"/>
      <c r="P171" s="192"/>
      <c r="Q171" s="192"/>
      <c r="R171" s="192"/>
      <c r="S171" s="192"/>
      <c r="T171" s="192"/>
      <c r="U171" s="192"/>
      <c r="V171" s="220" cm="1">
        <f t="array" ref="V171">V169*INDEX(LoanCohortRate,$A168)</f>
        <v>0.38541666666666669</v>
      </c>
      <c r="W171" s="221" cm="1">
        <f t="array" ref="W171">W169*INDEX(LoanCohortRate,$A168)</f>
        <v>0.36676669522243527</v>
      </c>
      <c r="X171" s="221" cm="1">
        <f t="array" ref="X171">X169*INDEX(LoanCohortRate,$A168)</f>
        <v>0.34782920338510526</v>
      </c>
      <c r="Y171" s="221" cm="1">
        <f t="array" ref="Y171">Y169*INDEX(LoanCohortRate,$A168)</f>
        <v>0.32859975854861645</v>
      </c>
      <c r="Z171" s="221" cm="1">
        <f t="array" ref="Z171">Z169*INDEX(LoanCohortRate,$A168)</f>
        <v>0.30907385977089846</v>
      </c>
      <c r="AA171" s="221" cm="1">
        <f t="array" ref="AA171">AA169*INDEX(LoanCohortRate,$A168)</f>
        <v>0.28924693672035728</v>
      </c>
      <c r="AB171" s="221" cm="1">
        <f t="array" ref="AB171">AB169*INDEX(LoanCohortRate,$A168)</f>
        <v>0.26911434860612032</v>
      </c>
      <c r="AC171" s="221" cm="1">
        <f t="array" ref="AC171">AC169*INDEX(LoanCohortRate,$A168)</f>
        <v>0.24867138309178882</v>
      </c>
      <c r="AD171" s="221" cm="1">
        <f t="array" ref="AD171">AD169*INDEX(LoanCohortRate,$A168)</f>
        <v>0.22791325519244471</v>
      </c>
      <c r="AE171" s="221" cm="1">
        <f t="array" ref="AE171">AE169*INDEX(LoanCohortRate,$A168)</f>
        <v>0.20683510615465239</v>
      </c>
      <c r="AF171" s="221" cm="1">
        <f t="array" ref="AF171">AF169*INDEX(LoanCohortRate,$A168)</f>
        <v>0.1854320023191941</v>
      </c>
      <c r="AG171" s="221" cm="1">
        <f t="array" ref="AG171">AG169*INDEX(LoanCohortRate,$A168)</f>
        <v>0.1636989339662725</v>
      </c>
      <c r="AH171" s="221" cm="1">
        <f t="array" ref="AH171">AH169*INDEX(LoanCohortRate,$A168)</f>
        <v>0.14163081414291001</v>
      </c>
      <c r="AI171" s="221" cm="1">
        <f t="array" ref="AI171">AI169*INDEX(LoanCohortRate,$A168)</f>
        <v>0.11922247747227069</v>
      </c>
      <c r="AJ171" s="221" cm="1">
        <f t="array" ref="AJ171">AJ169*INDEX(LoanCohortRate,$A168)</f>
        <v>9.6468678944625685E-2</v>
      </c>
      <c r="AK171" s="221" cm="1">
        <f t="array" ref="AK171">AK169*INDEX(LoanCohortRate,$A168)</f>
        <v>7.3364092689679486E-2</v>
      </c>
      <c r="AL171" s="221" cm="1">
        <f t="array" ref="AL171">AL169*INDEX(LoanCohortRate,$A168)</f>
        <v>4.9903310729969536E-2</v>
      </c>
      <c r="AM171" s="221" cm="1">
        <f t="array" ref="AM171">AM169*INDEX(LoanCohortRate,$A168)</f>
        <v>2.6080841715047383E-2</v>
      </c>
      <c r="AN171" s="221" cm="1">
        <f t="array" ref="AN171">AN169*INDEX(LoanCohortRate,$A168)</f>
        <v>1.8911096361451838E-3</v>
      </c>
      <c r="AO171" s="221" cm="1">
        <f t="array" ref="AO171">AO169*INDEX(LoanCohortRate,$A168)</f>
        <v>0</v>
      </c>
      <c r="AP171" s="221" cm="1">
        <f t="array" ref="AP171">AP169*INDEX(LoanCohortRate,$A168)</f>
        <v>0</v>
      </c>
      <c r="AQ171" s="221" cm="1">
        <f t="array" ref="AQ171">AQ169*INDEX(LoanCohortRate,$A168)</f>
        <v>0</v>
      </c>
      <c r="AR171" s="221" cm="1">
        <f t="array" ref="AR171">AR169*INDEX(LoanCohortRate,$A168)</f>
        <v>0</v>
      </c>
      <c r="AS171" s="221" cm="1">
        <f t="array" ref="AS171">AS169*INDEX(LoanCohortRate,$A168)</f>
        <v>0</v>
      </c>
      <c r="AT171" s="221" cm="1">
        <f t="array" ref="AT171">AT169*INDEX(LoanCohortRate,$A168)</f>
        <v>0</v>
      </c>
      <c r="AU171" s="221" cm="1">
        <f t="array" ref="AU171">AU169*INDEX(LoanCohortRate,$A168)</f>
        <v>0</v>
      </c>
      <c r="AV171" s="221" cm="1">
        <f t="array" ref="AV171">AV169*INDEX(LoanCohortRate,$A168)</f>
        <v>0</v>
      </c>
      <c r="AW171" s="221" cm="1">
        <f t="array" ref="AW171">AW169*INDEX(LoanCohortRate,$A168)</f>
        <v>0</v>
      </c>
      <c r="AX171" s="221" cm="1">
        <f t="array" ref="AX171">AX169*INDEX(LoanCohortRate,$A168)</f>
        <v>0</v>
      </c>
      <c r="AY171" s="221" cm="1">
        <f t="array" ref="AY171">AY169*INDEX(LoanCohortRate,$A168)</f>
        <v>0</v>
      </c>
      <c r="AZ171" s="221" cm="1">
        <f t="array" ref="AZ171">AZ169*INDEX(LoanCohortRate,$A168)</f>
        <v>0</v>
      </c>
      <c r="BA171" s="221" cm="1">
        <f t="array" ref="BA171">BA169*INDEX(LoanCohortRate,$A168)</f>
        <v>0</v>
      </c>
      <c r="BB171" s="221" cm="1">
        <f t="array" ref="BB171">BB169*INDEX(LoanCohortRate,$A168)</f>
        <v>0</v>
      </c>
      <c r="BC171" s="221" cm="1">
        <f t="array" ref="BC171">BC169*INDEX(LoanCohortRate,$A168)</f>
        <v>0</v>
      </c>
      <c r="BD171" s="221" cm="1">
        <f t="array" ref="BD171">BD169*INDEX(LoanCohortRate,$A168)</f>
        <v>0</v>
      </c>
      <c r="BE171" s="221" cm="1">
        <f t="array" ref="BE171">BE169*INDEX(LoanCohortRate,$A168)</f>
        <v>0</v>
      </c>
      <c r="BF171" s="221" cm="1">
        <f t="array" ref="BF171">BF169*INDEX(LoanCohortRate,$A168)</f>
        <v>0</v>
      </c>
      <c r="BG171" s="221" cm="1">
        <f t="array" ref="BG171">BG169*INDEX(LoanCohortRate,$A168)</f>
        <v>0</v>
      </c>
      <c r="BH171" s="221" cm="1">
        <f t="array" ref="BH171">BH169*INDEX(LoanCohortRate,$A168)</f>
        <v>0</v>
      </c>
      <c r="BI171" s="221" cm="1">
        <f t="array" ref="BI171">BI169*INDEX(LoanCohortRate,$A168)</f>
        <v>0</v>
      </c>
      <c r="BJ171" s="221" cm="1">
        <f t="array" ref="BJ171">BJ169*INDEX(LoanCohortRate,$A168)</f>
        <v>0</v>
      </c>
      <c r="BK171" s="221" cm="1">
        <f t="array" ref="BK171">BK169*INDEX(LoanCohortRate,$A168)</f>
        <v>0</v>
      </c>
    </row>
    <row r="172" spans="1:63" ht="7.8" x14ac:dyDescent="0.15">
      <c r="A172" s="218" t="s">
        <v>177</v>
      </c>
      <c r="B172" s="192"/>
      <c r="C172" s="192"/>
      <c r="D172" s="192"/>
      <c r="E172" s="192"/>
      <c r="F172" s="192"/>
      <c r="G172" s="192"/>
      <c r="H172" s="192"/>
      <c r="I172" s="192"/>
      <c r="J172" s="192"/>
      <c r="K172" s="192"/>
      <c r="L172" s="192"/>
      <c r="M172" s="192"/>
      <c r="N172" s="192"/>
      <c r="O172" s="192"/>
      <c r="P172" s="192"/>
      <c r="Q172" s="192"/>
      <c r="R172" s="192"/>
      <c r="S172" s="192"/>
      <c r="T172" s="192"/>
      <c r="U172" s="192"/>
      <c r="V172" s="219">
        <f>V170-V171</f>
        <v>1.2097278774636584</v>
      </c>
      <c r="W172" s="222">
        <f t="shared" ref="W172:BK172" si="2920">W170-W171</f>
        <v>1.2283778489078898</v>
      </c>
      <c r="X172" s="222">
        <f t="shared" si="2920"/>
        <v>1.24731534074522</v>
      </c>
      <c r="Y172" s="222">
        <f t="shared" si="2920"/>
        <v>1.2665447855817087</v>
      </c>
      <c r="Z172" s="222">
        <f t="shared" si="2920"/>
        <v>1.2860706843594267</v>
      </c>
      <c r="AA172" s="222">
        <f t="shared" si="2920"/>
        <v>1.305897607409968</v>
      </c>
      <c r="AB172" s="222">
        <f t="shared" si="2920"/>
        <v>1.3260301955242049</v>
      </c>
      <c r="AC172" s="222">
        <f t="shared" si="2920"/>
        <v>1.3464731610385363</v>
      </c>
      <c r="AD172" s="222">
        <f t="shared" si="2920"/>
        <v>1.3672312889378804</v>
      </c>
      <c r="AE172" s="222">
        <f t="shared" si="2920"/>
        <v>1.3883094379756726</v>
      </c>
      <c r="AF172" s="222">
        <f t="shared" si="2920"/>
        <v>1.4097125418111309</v>
      </c>
      <c r="AG172" s="222">
        <f t="shared" si="2920"/>
        <v>1.4314456101640527</v>
      </c>
      <c r="AH172" s="222">
        <f t="shared" si="2920"/>
        <v>1.453513729987415</v>
      </c>
      <c r="AI172" s="222">
        <f t="shared" si="2920"/>
        <v>1.4759220666580544</v>
      </c>
      <c r="AJ172" s="222">
        <f t="shared" si="2920"/>
        <v>1.4986758651856995</v>
      </c>
      <c r="AK172" s="222">
        <f t="shared" si="2920"/>
        <v>1.5217804514406457</v>
      </c>
      <c r="AL172" s="222">
        <f t="shared" si="2920"/>
        <v>1.5452412334003556</v>
      </c>
      <c r="AM172" s="222">
        <f t="shared" si="2920"/>
        <v>1.5690637024152778</v>
      </c>
      <c r="AN172" s="222">
        <f t="shared" si="2920"/>
        <v>1.59325343449418</v>
      </c>
      <c r="AO172" s="222">
        <f t="shared" si="2920"/>
        <v>0</v>
      </c>
      <c r="AP172" s="222">
        <f t="shared" si="2920"/>
        <v>0</v>
      </c>
      <c r="AQ172" s="222">
        <f t="shared" si="2920"/>
        <v>0</v>
      </c>
      <c r="AR172" s="222">
        <f t="shared" si="2920"/>
        <v>0</v>
      </c>
      <c r="AS172" s="222">
        <f t="shared" si="2920"/>
        <v>0</v>
      </c>
      <c r="AT172" s="222">
        <f t="shared" si="2920"/>
        <v>0</v>
      </c>
      <c r="AU172" s="222">
        <f t="shared" si="2920"/>
        <v>0</v>
      </c>
      <c r="AV172" s="222">
        <f t="shared" si="2920"/>
        <v>0</v>
      </c>
      <c r="AW172" s="222">
        <f t="shared" si="2920"/>
        <v>0</v>
      </c>
      <c r="AX172" s="222">
        <f t="shared" si="2920"/>
        <v>0</v>
      </c>
      <c r="AY172" s="222">
        <f t="shared" si="2920"/>
        <v>0</v>
      </c>
      <c r="AZ172" s="222">
        <f t="shared" si="2920"/>
        <v>0</v>
      </c>
      <c r="BA172" s="222">
        <f t="shared" si="2920"/>
        <v>0</v>
      </c>
      <c r="BB172" s="222">
        <f t="shared" si="2920"/>
        <v>0</v>
      </c>
      <c r="BC172" s="222">
        <f t="shared" si="2920"/>
        <v>0</v>
      </c>
      <c r="BD172" s="222">
        <f t="shared" si="2920"/>
        <v>0</v>
      </c>
      <c r="BE172" s="222">
        <f t="shared" si="2920"/>
        <v>0</v>
      </c>
      <c r="BF172" s="222">
        <f t="shared" si="2920"/>
        <v>0</v>
      </c>
      <c r="BG172" s="222">
        <f t="shared" si="2920"/>
        <v>0</v>
      </c>
      <c r="BH172" s="222">
        <f t="shared" si="2920"/>
        <v>0</v>
      </c>
      <c r="BI172" s="222">
        <f t="shared" si="2920"/>
        <v>0</v>
      </c>
      <c r="BJ172" s="222">
        <f t="shared" si="2920"/>
        <v>0</v>
      </c>
      <c r="BK172" s="222">
        <f t="shared" si="2920"/>
        <v>0</v>
      </c>
    </row>
    <row r="173" spans="1:63" ht="7.8" x14ac:dyDescent="0.15">
      <c r="A173" s="205" t="s">
        <v>7</v>
      </c>
      <c r="B173" s="192"/>
      <c r="C173" s="192"/>
      <c r="D173" s="192"/>
      <c r="E173" s="192"/>
      <c r="F173" s="192"/>
      <c r="G173" s="192"/>
      <c r="H173" s="192"/>
      <c r="I173" s="192"/>
      <c r="J173" s="192"/>
      <c r="K173" s="192"/>
      <c r="L173" s="192"/>
      <c r="M173" s="192"/>
      <c r="N173" s="192"/>
      <c r="O173" s="192"/>
      <c r="P173" s="192"/>
      <c r="Q173" s="192"/>
      <c r="R173" s="192"/>
      <c r="S173" s="192"/>
      <c r="T173" s="192"/>
      <c r="U173" s="192"/>
      <c r="V173" s="214" cm="1">
        <f t="array" ref="V173">INDEX(LoanOriginations,$A168)</f>
        <v>109.39289395675634</v>
      </c>
      <c r="W173" s="199">
        <f t="shared" ref="W173:BK173" si="2921">V173*(1-MitigateDelinquency*MitigateChargeoff)  *  IF(W168=0,0,IF(W168-102=LoanSaleHeld,0.6,1))</f>
        <v>109.28350106279959</v>
      </c>
      <c r="X173" s="199">
        <f t="shared" si="2921"/>
        <v>109.17421756173678</v>
      </c>
      <c r="Y173" s="199">
        <f t="shared" si="2921"/>
        <v>109.06504334417505</v>
      </c>
      <c r="Z173" s="199">
        <f t="shared" si="2921"/>
        <v>65.37358698049853</v>
      </c>
      <c r="AA173" s="199">
        <f t="shared" si="2921"/>
        <v>65.308213393518031</v>
      </c>
      <c r="AB173" s="199">
        <f t="shared" si="2921"/>
        <v>65.242905180124509</v>
      </c>
      <c r="AC173" s="199">
        <f t="shared" si="2921"/>
        <v>65.177662274944382</v>
      </c>
      <c r="AD173" s="199">
        <f t="shared" si="2921"/>
        <v>65.112484612669434</v>
      </c>
      <c r="AE173" s="199">
        <f t="shared" si="2921"/>
        <v>65.047372128056764</v>
      </c>
      <c r="AF173" s="199">
        <f t="shared" si="2921"/>
        <v>64.982324755928701</v>
      </c>
      <c r="AG173" s="199">
        <f t="shared" si="2921"/>
        <v>64.91734243117277</v>
      </c>
      <c r="AH173" s="199">
        <f t="shared" si="2921"/>
        <v>64.852425088741597</v>
      </c>
      <c r="AI173" s="199">
        <f t="shared" si="2921"/>
        <v>64.787572663652853</v>
      </c>
      <c r="AJ173" s="199">
        <f t="shared" si="2921"/>
        <v>64.722785090989206</v>
      </c>
      <c r="AK173" s="199">
        <f t="shared" si="2921"/>
        <v>64.658062305898213</v>
      </c>
      <c r="AL173" s="199">
        <f t="shared" si="2921"/>
        <v>64.593404243592317</v>
      </c>
      <c r="AM173" s="199">
        <f t="shared" si="2921"/>
        <v>64.528810839348722</v>
      </c>
      <c r="AN173" s="199">
        <f t="shared" si="2921"/>
        <v>64.464282028509373</v>
      </c>
      <c r="AO173" s="199">
        <f t="shared" si="2921"/>
        <v>0</v>
      </c>
      <c r="AP173" s="199">
        <f t="shared" si="2921"/>
        <v>0</v>
      </c>
      <c r="AQ173" s="199">
        <f t="shared" si="2921"/>
        <v>0</v>
      </c>
      <c r="AR173" s="199">
        <f t="shared" si="2921"/>
        <v>0</v>
      </c>
      <c r="AS173" s="199">
        <f t="shared" si="2921"/>
        <v>0</v>
      </c>
      <c r="AT173" s="199">
        <f t="shared" si="2921"/>
        <v>0</v>
      </c>
      <c r="AU173" s="199">
        <f t="shared" si="2921"/>
        <v>0</v>
      </c>
      <c r="AV173" s="199">
        <f t="shared" si="2921"/>
        <v>0</v>
      </c>
      <c r="AW173" s="199">
        <f t="shared" si="2921"/>
        <v>0</v>
      </c>
      <c r="AX173" s="199">
        <f t="shared" si="2921"/>
        <v>0</v>
      </c>
      <c r="AY173" s="199">
        <f t="shared" si="2921"/>
        <v>0</v>
      </c>
      <c r="AZ173" s="199">
        <f t="shared" si="2921"/>
        <v>0</v>
      </c>
      <c r="BA173" s="199">
        <f t="shared" si="2921"/>
        <v>0</v>
      </c>
      <c r="BB173" s="199">
        <f t="shared" si="2921"/>
        <v>0</v>
      </c>
      <c r="BC173" s="199">
        <f t="shared" si="2921"/>
        <v>0</v>
      </c>
      <c r="BD173" s="199">
        <f t="shared" si="2921"/>
        <v>0</v>
      </c>
      <c r="BE173" s="199">
        <f t="shared" si="2921"/>
        <v>0</v>
      </c>
      <c r="BF173" s="199">
        <f t="shared" si="2921"/>
        <v>0</v>
      </c>
      <c r="BG173" s="199">
        <f t="shared" si="2921"/>
        <v>0</v>
      </c>
      <c r="BH173" s="199">
        <f t="shared" si="2921"/>
        <v>0</v>
      </c>
      <c r="BI173" s="199">
        <f t="shared" si="2921"/>
        <v>0</v>
      </c>
      <c r="BJ173" s="199">
        <f t="shared" si="2921"/>
        <v>0</v>
      </c>
      <c r="BK173" s="199">
        <f t="shared" si="2921"/>
        <v>0</v>
      </c>
    </row>
    <row r="174" spans="1:63" ht="7.8" x14ac:dyDescent="0.15">
      <c r="A174" s="207" t="s">
        <v>96</v>
      </c>
      <c r="B174" s="192"/>
      <c r="C174" s="192"/>
      <c r="D174" s="192"/>
      <c r="E174" s="192"/>
      <c r="F174" s="192"/>
      <c r="G174" s="192"/>
      <c r="H174" s="192"/>
      <c r="I174" s="192"/>
      <c r="J174" s="192"/>
      <c r="K174" s="192"/>
      <c r="L174" s="192"/>
      <c r="M174" s="192"/>
      <c r="N174" s="192"/>
      <c r="O174" s="192"/>
      <c r="P174" s="192"/>
      <c r="Q174" s="192"/>
      <c r="R174" s="192"/>
      <c r="S174" s="192"/>
      <c r="T174" s="192"/>
      <c r="U174" s="192"/>
      <c r="V174" s="223">
        <f>V171*V173</f>
        <v>42.161844545833176</v>
      </c>
      <c r="W174" s="200">
        <f t="shared" ref="W174" si="2922">W171*W173</f>
        <v>40.081548527140498</v>
      </c>
      <c r="X174" s="200">
        <f t="shared" ref="X174" si="2923">X171*X173</f>
        <v>37.973981124691072</v>
      </c>
      <c r="Y174" s="200">
        <f t="shared" ref="Y174" si="2924">Y171*Y173</f>
        <v>35.838746908990309</v>
      </c>
      <c r="Z174" s="200">
        <f t="shared" ref="Z174" si="2925">Z171*Z173</f>
        <v>20.205266855131235</v>
      </c>
      <c r="AA174" s="200">
        <f t="shared" ref="AA174" si="2926">AA171*AA173</f>
        <v>18.890200666754499</v>
      </c>
      <c r="AB174" s="200">
        <f t="shared" ref="AB174" si="2927">AB171*AB173</f>
        <v>17.557801928720082</v>
      </c>
      <c r="AC174" s="200">
        <f t="shared" ref="AC174" si="2928">AC171*AC173</f>
        <v>16.207819424599926</v>
      </c>
      <c r="AD174" s="200">
        <f t="shared" ref="AD174" si="2929">AD171*AD173</f>
        <v>14.839998321741458</v>
      </c>
      <c r="AE174" s="200">
        <f t="shared" ref="AE174" si="2930">AE171*AE173</f>
        <v>13.454080119187799</v>
      </c>
      <c r="AF174" s="200">
        <f t="shared" ref="AF174" si="2931">AF171*AF173</f>
        <v>12.049802594847995</v>
      </c>
      <c r="AG174" s="200">
        <f t="shared" ref="AG174" si="2932">AG171*AG173</f>
        <v>10.626899751906452</v>
      </c>
      <c r="AH174" s="200">
        <f t="shared" ref="AH174" si="2933">AH171*AH173</f>
        <v>9.1851017644605548</v>
      </c>
      <c r="AI174" s="200">
        <f t="shared" ref="AI174" si="2934">AI171*AI173</f>
        <v>7.7241349223754527</v>
      </c>
      <c r="AJ174" s="200">
        <f t="shared" ref="AJ174" si="2935">AJ171*AJ173</f>
        <v>6.2437215753446438</v>
      </c>
      <c r="AK174" s="200">
        <f t="shared" ref="AK174" si="2936">AK171*AK173</f>
        <v>4.7435800761449878</v>
      </c>
      <c r="AL174" s="200">
        <f t="shared" ref="AL174" si="2937">AL171*AL173</f>
        <v>3.2234247230745203</v>
      </c>
      <c r="AM174" s="200">
        <f t="shared" ref="AM174" si="2938">AM171*AM173</f>
        <v>1.6829657015612878</v>
      </c>
      <c r="AN174" s="200">
        <f t="shared" ref="AN174" si="2939">AN171*AN173</f>
        <v>0.12190902493129488</v>
      </c>
      <c r="AO174" s="200">
        <f t="shared" ref="AO174" si="2940">AO171*AO173</f>
        <v>0</v>
      </c>
      <c r="AP174" s="200">
        <f t="shared" ref="AP174" si="2941">AP171*AP173</f>
        <v>0</v>
      </c>
      <c r="AQ174" s="200">
        <f t="shared" ref="AQ174" si="2942">AQ171*AQ173</f>
        <v>0</v>
      </c>
      <c r="AR174" s="200">
        <f t="shared" ref="AR174" si="2943">AR171*AR173</f>
        <v>0</v>
      </c>
      <c r="AS174" s="200">
        <f t="shared" ref="AS174" si="2944">AS171*AS173</f>
        <v>0</v>
      </c>
      <c r="AT174" s="200">
        <f t="shared" ref="AT174" si="2945">AT171*AT173</f>
        <v>0</v>
      </c>
      <c r="AU174" s="200">
        <f t="shared" ref="AU174" si="2946">AU171*AU173</f>
        <v>0</v>
      </c>
      <c r="AV174" s="200">
        <f t="shared" ref="AV174" si="2947">AV171*AV173</f>
        <v>0</v>
      </c>
      <c r="AW174" s="200">
        <f t="shared" ref="AW174" si="2948">AW171*AW173</f>
        <v>0</v>
      </c>
      <c r="AX174" s="200">
        <f t="shared" ref="AX174" si="2949">AX171*AX173</f>
        <v>0</v>
      </c>
      <c r="AY174" s="200">
        <f t="shared" ref="AY174" si="2950">AY171*AY173</f>
        <v>0</v>
      </c>
      <c r="AZ174" s="200">
        <f t="shared" ref="AZ174" si="2951">AZ171*AZ173</f>
        <v>0</v>
      </c>
      <c r="BA174" s="200">
        <f t="shared" ref="BA174" si="2952">BA171*BA173</f>
        <v>0</v>
      </c>
      <c r="BB174" s="200">
        <f t="shared" ref="BB174" si="2953">BB171*BB173</f>
        <v>0</v>
      </c>
      <c r="BC174" s="200">
        <f t="shared" ref="BC174" si="2954">BC171*BC173</f>
        <v>0</v>
      </c>
      <c r="BD174" s="200">
        <f t="shared" ref="BD174" si="2955">BD171*BD173</f>
        <v>0</v>
      </c>
      <c r="BE174" s="200">
        <f t="shared" ref="BE174" si="2956">BE171*BE173</f>
        <v>0</v>
      </c>
      <c r="BF174" s="200">
        <f t="shared" ref="BF174" si="2957">BF171*BF173</f>
        <v>0</v>
      </c>
      <c r="BG174" s="200">
        <f t="shared" ref="BG174" si="2958">BG171*BG173</f>
        <v>0</v>
      </c>
      <c r="BH174" s="200">
        <f t="shared" ref="BH174" si="2959">BH171*BH173</f>
        <v>0</v>
      </c>
      <c r="BI174" s="200">
        <f t="shared" ref="BI174" si="2960">BI171*BI173</f>
        <v>0</v>
      </c>
      <c r="BJ174" s="200">
        <f t="shared" ref="BJ174" si="2961">BJ171*BJ173</f>
        <v>0</v>
      </c>
      <c r="BK174" s="200">
        <f t="shared" ref="BK174" si="2962">BK171*BK173</f>
        <v>0</v>
      </c>
    </row>
    <row r="175" spans="1:63" ht="7.8" x14ac:dyDescent="0.15">
      <c r="A175" s="206" t="s">
        <v>97</v>
      </c>
      <c r="B175" s="192"/>
      <c r="C175" s="192"/>
      <c r="D175" s="192"/>
      <c r="E175" s="192"/>
      <c r="F175" s="192"/>
      <c r="G175" s="192"/>
      <c r="H175" s="192"/>
      <c r="I175" s="192"/>
      <c r="J175" s="192"/>
      <c r="K175" s="192"/>
      <c r="L175" s="192"/>
      <c r="M175" s="192"/>
      <c r="N175" s="192"/>
      <c r="O175" s="192"/>
      <c r="P175" s="192"/>
      <c r="Q175" s="192"/>
      <c r="R175" s="192"/>
      <c r="S175" s="192"/>
      <c r="T175" s="192"/>
      <c r="U175" s="192"/>
      <c r="V175" s="223">
        <f>V172*V173</f>
        <v>132.33563341591392</v>
      </c>
      <c r="W175" s="200">
        <f>W172*W173</f>
        <v>134.24143195664485</v>
      </c>
      <c r="X175" s="200">
        <f t="shared" ref="X175:BK175" si="2963">X172*X173</f>
        <v>136.17467637861049</v>
      </c>
      <c r="Y175" s="200">
        <f t="shared" si="2963"/>
        <v>138.13576193680797</v>
      </c>
      <c r="Z175" s="200">
        <f t="shared" si="2963"/>
        <v>84.075053747040258</v>
      </c>
      <c r="AA175" s="200">
        <f t="shared" si="2963"/>
        <v>85.285839614814819</v>
      </c>
      <c r="AB175" s="200">
        <f t="shared" si="2963"/>
        <v>86.51406231256766</v>
      </c>
      <c r="AC175" s="200">
        <f t="shared" si="2963"/>
        <v>87.759972952446518</v>
      </c>
      <c r="AD175" s="200">
        <f t="shared" si="2963"/>
        <v>89.023826262927926</v>
      </c>
      <c r="AE175" s="200">
        <f t="shared" si="2963"/>
        <v>90.305880640896916</v>
      </c>
      <c r="AF175" s="200">
        <f t="shared" si="2963"/>
        <v>91.606398204476633</v>
      </c>
      <c r="AG175" s="200">
        <f t="shared" si="2963"/>
        <v>92.925644846618852</v>
      </c>
      <c r="AH175" s="200">
        <f t="shared" si="2963"/>
        <v>94.263890289466218</v>
      </c>
      <c r="AI175" s="200">
        <f t="shared" si="2963"/>
        <v>95.62140813949739</v>
      </c>
      <c r="AJ175" s="200">
        <f t="shared" si="2963"/>
        <v>96.998475943466346</v>
      </c>
      <c r="AK175" s="200">
        <f t="shared" si="2963"/>
        <v>98.395375245147179</v>
      </c>
      <c r="AL175" s="200">
        <f t="shared" si="2963"/>
        <v>99.812391642896358</v>
      </c>
      <c r="AM175" s="200">
        <f t="shared" si="2963"/>
        <v>101.24981484804361</v>
      </c>
      <c r="AN175" s="200">
        <f t="shared" si="2963"/>
        <v>102.70793874412401</v>
      </c>
      <c r="AO175" s="200">
        <f t="shared" si="2963"/>
        <v>0</v>
      </c>
      <c r="AP175" s="200">
        <f t="shared" si="2963"/>
        <v>0</v>
      </c>
      <c r="AQ175" s="200">
        <f t="shared" si="2963"/>
        <v>0</v>
      </c>
      <c r="AR175" s="200">
        <f t="shared" si="2963"/>
        <v>0</v>
      </c>
      <c r="AS175" s="200">
        <f t="shared" si="2963"/>
        <v>0</v>
      </c>
      <c r="AT175" s="200">
        <f t="shared" si="2963"/>
        <v>0</v>
      </c>
      <c r="AU175" s="200">
        <f t="shared" si="2963"/>
        <v>0</v>
      </c>
      <c r="AV175" s="200">
        <f t="shared" si="2963"/>
        <v>0</v>
      </c>
      <c r="AW175" s="200">
        <f t="shared" si="2963"/>
        <v>0</v>
      </c>
      <c r="AX175" s="200">
        <f t="shared" si="2963"/>
        <v>0</v>
      </c>
      <c r="AY175" s="200">
        <f t="shared" si="2963"/>
        <v>0</v>
      </c>
      <c r="AZ175" s="200">
        <f t="shared" si="2963"/>
        <v>0</v>
      </c>
      <c r="BA175" s="200">
        <f t="shared" si="2963"/>
        <v>0</v>
      </c>
      <c r="BB175" s="200">
        <f t="shared" si="2963"/>
        <v>0</v>
      </c>
      <c r="BC175" s="200">
        <f t="shared" si="2963"/>
        <v>0</v>
      </c>
      <c r="BD175" s="200">
        <f t="shared" si="2963"/>
        <v>0</v>
      </c>
      <c r="BE175" s="200">
        <f t="shared" si="2963"/>
        <v>0</v>
      </c>
      <c r="BF175" s="200">
        <f t="shared" si="2963"/>
        <v>0</v>
      </c>
      <c r="BG175" s="200">
        <f t="shared" si="2963"/>
        <v>0</v>
      </c>
      <c r="BH175" s="200">
        <f t="shared" si="2963"/>
        <v>0</v>
      </c>
      <c r="BI175" s="200">
        <f t="shared" si="2963"/>
        <v>0</v>
      </c>
      <c r="BJ175" s="200">
        <f t="shared" si="2963"/>
        <v>0</v>
      </c>
      <c r="BK175" s="200">
        <f t="shared" si="2963"/>
        <v>0</v>
      </c>
    </row>
    <row r="176" spans="1:63" ht="7.8" x14ac:dyDescent="0.15">
      <c r="A176" s="208" t="s">
        <v>203</v>
      </c>
      <c r="B176" s="192"/>
      <c r="C176" s="192"/>
      <c r="D176" s="192"/>
      <c r="E176" s="192"/>
      <c r="F176" s="192"/>
      <c r="G176" s="192"/>
      <c r="H176" s="192"/>
      <c r="I176" s="192"/>
      <c r="J176" s="192"/>
      <c r="K176" s="192"/>
      <c r="L176" s="192"/>
      <c r="M176" s="192"/>
      <c r="N176" s="192"/>
      <c r="O176" s="192"/>
      <c r="P176" s="192"/>
      <c r="Q176" s="192"/>
      <c r="R176" s="192"/>
      <c r="S176" s="192"/>
      <c r="T176" s="192"/>
      <c r="U176" s="192"/>
      <c r="V176" s="224">
        <f>IF(V168-101&lt;&gt;LoanSaleHeld,0,SUM($D175:V175)*LoanSalePercent)</f>
        <v>0</v>
      </c>
      <c r="W176" s="225">
        <f>IF(W168-101&lt;&gt;LoanSaleHeld,0,SUM($D175:W175)*LoanSalePercent)</f>
        <v>0</v>
      </c>
      <c r="X176" s="225">
        <f>IF(X168-101&lt;&gt;LoanSaleHeld,0,SUM($D175:X175)*LoanSalePercent)</f>
        <v>0</v>
      </c>
      <c r="Y176" s="225">
        <f>IF(Y168-101&lt;&gt;LoanSaleHeld,0,SUM($D175:Y175)*LoanSalePercent)</f>
        <v>216.35500147519087</v>
      </c>
      <c r="Z176" s="225">
        <f>IF(Z168-101&lt;&gt;LoanSaleHeld,0,SUM($D175:Z175)*LoanSalePercent)</f>
        <v>0</v>
      </c>
      <c r="AA176" s="225">
        <f>IF(AA168-101&lt;&gt;LoanSaleHeld,0,SUM($D175:AA175)*LoanSalePercent)</f>
        <v>0</v>
      </c>
      <c r="AB176" s="225">
        <f>IF(AB168-101&lt;&gt;LoanSaleHeld,0,SUM($D175:AB175)*LoanSalePercent)</f>
        <v>0</v>
      </c>
      <c r="AC176" s="225">
        <f>IF(AC168-101&lt;&gt;LoanSaleHeld,0,SUM($D175:AC175)*LoanSalePercent)</f>
        <v>0</v>
      </c>
      <c r="AD176" s="225">
        <f>IF(AD168-101&lt;&gt;LoanSaleHeld,0,SUM($D175:AD175)*LoanSalePercent)</f>
        <v>0</v>
      </c>
      <c r="AE176" s="225">
        <f>IF(AE168-101&lt;&gt;LoanSaleHeld,0,SUM($D175:AE175)*LoanSalePercent)</f>
        <v>0</v>
      </c>
      <c r="AF176" s="225">
        <f>IF(AF168-101&lt;&gt;LoanSaleHeld,0,SUM($D175:AF175)*LoanSalePercent)</f>
        <v>0</v>
      </c>
      <c r="AG176" s="225">
        <f>IF(AG168-101&lt;&gt;LoanSaleHeld,0,SUM($D175:AG175)*LoanSalePercent)</f>
        <v>0</v>
      </c>
      <c r="AH176" s="225">
        <f>IF(AH168-101&lt;&gt;LoanSaleHeld,0,SUM($D175:AH175)*LoanSalePercent)</f>
        <v>0</v>
      </c>
      <c r="AI176" s="225">
        <f>IF(AI168-101&lt;&gt;LoanSaleHeld,0,SUM($D175:AI175)*LoanSalePercent)</f>
        <v>0</v>
      </c>
      <c r="AJ176" s="225">
        <f>IF(AJ168-101&lt;&gt;LoanSaleHeld,0,SUM($D175:AJ175)*LoanSalePercent)</f>
        <v>0</v>
      </c>
      <c r="AK176" s="225">
        <f>IF(AK168-101&lt;&gt;LoanSaleHeld,0,SUM($D175:AK175)*LoanSalePercent)</f>
        <v>0</v>
      </c>
      <c r="AL176" s="225">
        <f>IF(AL168-101&lt;&gt;LoanSaleHeld,0,SUM($D175:AL175)*LoanSalePercent)</f>
        <v>0</v>
      </c>
      <c r="AM176" s="225">
        <f>IF(AM168-101&lt;&gt;LoanSaleHeld,0,SUM($D175:AM175)*LoanSalePercent)</f>
        <v>0</v>
      </c>
      <c r="AN176" s="225">
        <f>IF(AN168-101&lt;&gt;LoanSaleHeld,0,SUM($D175:AN175)*LoanSalePercent)</f>
        <v>0</v>
      </c>
      <c r="AO176" s="225">
        <f>IF(AO168-101&lt;&gt;LoanSaleHeld,0,SUM($D175:AO175)*LoanSalePercent)</f>
        <v>0</v>
      </c>
      <c r="AP176" s="225">
        <f>IF(AP168-101&lt;&gt;LoanSaleHeld,0,SUM($D175:AP175)*LoanSalePercent)</f>
        <v>0</v>
      </c>
      <c r="AQ176" s="225">
        <f>IF(AQ168-101&lt;&gt;LoanSaleHeld,0,SUM($D175:AQ175)*LoanSalePercent)</f>
        <v>0</v>
      </c>
      <c r="AR176" s="225">
        <f>IF(AR168-101&lt;&gt;LoanSaleHeld,0,SUM($D175:AR175)*LoanSalePercent)</f>
        <v>0</v>
      </c>
      <c r="AS176" s="225">
        <f>IF(AS168-101&lt;&gt;LoanSaleHeld,0,SUM($D175:AS175)*LoanSalePercent)</f>
        <v>0</v>
      </c>
      <c r="AT176" s="225">
        <f>IF(AT168-101&lt;&gt;LoanSaleHeld,0,SUM($D175:AT175)*LoanSalePercent)</f>
        <v>0</v>
      </c>
      <c r="AU176" s="225">
        <f>IF(AU168-101&lt;&gt;LoanSaleHeld,0,SUM($D175:AU175)*LoanSalePercent)</f>
        <v>0</v>
      </c>
      <c r="AV176" s="225">
        <f>IF(AV168-101&lt;&gt;LoanSaleHeld,0,SUM($D175:AV175)*LoanSalePercent)</f>
        <v>0</v>
      </c>
      <c r="AW176" s="225">
        <f>IF(AW168-101&lt;&gt;LoanSaleHeld,0,SUM($D175:AW175)*LoanSalePercent)</f>
        <v>0</v>
      </c>
      <c r="AX176" s="225">
        <f>IF(AX168-101&lt;&gt;LoanSaleHeld,0,SUM($D175:AX175)*LoanSalePercent)</f>
        <v>0</v>
      </c>
      <c r="AY176" s="225">
        <f>IF(AY168-101&lt;&gt;LoanSaleHeld,0,SUM($D175:AY175)*LoanSalePercent)</f>
        <v>0</v>
      </c>
      <c r="AZ176" s="225">
        <f>IF(AZ168-101&lt;&gt;LoanSaleHeld,0,SUM($D175:AZ175)*LoanSalePercent)</f>
        <v>0</v>
      </c>
      <c r="BA176" s="225">
        <f>IF(BA168-101&lt;&gt;LoanSaleHeld,0,SUM($D175:BA175)*LoanSalePercent)</f>
        <v>0</v>
      </c>
      <c r="BB176" s="225">
        <f>IF(BB168-101&lt;&gt;LoanSaleHeld,0,SUM($D175:BB175)*LoanSalePercent)</f>
        <v>0</v>
      </c>
      <c r="BC176" s="225">
        <f>IF(BC168-101&lt;&gt;LoanSaleHeld,0,SUM($D175:BC175)*LoanSalePercent)</f>
        <v>0</v>
      </c>
      <c r="BD176" s="225">
        <f>IF(BD168-101&lt;&gt;LoanSaleHeld,0,SUM($D175:BD175)*LoanSalePercent)</f>
        <v>0</v>
      </c>
      <c r="BE176" s="225">
        <f>IF(BE168-101&lt;&gt;LoanSaleHeld,0,SUM($D175:BE175)*LoanSalePercent)</f>
        <v>0</v>
      </c>
      <c r="BF176" s="225">
        <f>IF(BF168-101&lt;&gt;LoanSaleHeld,0,SUM($D175:BF175)*LoanSalePercent)</f>
        <v>0</v>
      </c>
      <c r="BG176" s="225">
        <f>IF(BG168-101&lt;&gt;LoanSaleHeld,0,SUM($D175:BG175)*LoanSalePercent)</f>
        <v>0</v>
      </c>
      <c r="BH176" s="225">
        <f>IF(BH168-101&lt;&gt;LoanSaleHeld,0,SUM($D175:BH175)*LoanSalePercent)</f>
        <v>0</v>
      </c>
      <c r="BI176" s="225">
        <f>IF(BI168-101&lt;&gt;LoanSaleHeld,0,SUM($D175:BI175)*LoanSalePercent)</f>
        <v>0</v>
      </c>
      <c r="BJ176" s="225">
        <f>IF(BJ168-101&lt;&gt;LoanSaleHeld,0,SUM($D175:BJ175)*LoanSalePercent)</f>
        <v>0</v>
      </c>
      <c r="BK176" s="225">
        <f>IF(BK168-101&lt;&gt;LoanSaleHeld,0,SUM($D175:BK175)*LoanSalePercent)</f>
        <v>0</v>
      </c>
    </row>
    <row r="177" spans="1:63" ht="7.8" x14ac:dyDescent="0.15">
      <c r="A177" s="204">
        <f t="shared" ref="A177" si="2964">A168+1</f>
        <v>20</v>
      </c>
      <c r="B177" s="192"/>
      <c r="C177" s="192"/>
      <c r="D177" s="192"/>
      <c r="E177" s="192"/>
      <c r="F177" s="192"/>
      <c r="G177" s="192"/>
      <c r="H177" s="192"/>
      <c r="I177" s="192"/>
      <c r="J177" s="192"/>
      <c r="K177" s="192"/>
      <c r="L177" s="192"/>
      <c r="M177" s="192"/>
      <c r="N177" s="192"/>
      <c r="O177" s="192"/>
      <c r="P177" s="192"/>
      <c r="Q177" s="192"/>
      <c r="R177" s="192"/>
      <c r="S177" s="192"/>
      <c r="T177" s="192"/>
      <c r="U177" s="192"/>
      <c r="V177" s="192"/>
      <c r="W177" s="195">
        <v>101</v>
      </c>
      <c r="X177" s="196">
        <f t="shared" ref="X177" si="2965">IF(X178=0,0,W177+1)</f>
        <v>102</v>
      </c>
      <c r="Y177" s="196">
        <f t="shared" ref="Y177" si="2966">IF(Y178=0,0,X177+1)</f>
        <v>103</v>
      </c>
      <c r="Z177" s="196">
        <f t="shared" ref="Z177" si="2967">IF(Z178=0,0,Y177+1)</f>
        <v>104</v>
      </c>
      <c r="AA177" s="196">
        <f t="shared" ref="AA177" si="2968">IF(AA178=0,0,Z177+1)</f>
        <v>105</v>
      </c>
      <c r="AB177" s="196">
        <f t="shared" ref="AB177" si="2969">IF(AB178=0,0,AA177+1)</f>
        <v>106</v>
      </c>
      <c r="AC177" s="196">
        <f t="shared" ref="AC177" si="2970">IF(AC178=0,0,AB177+1)</f>
        <v>107</v>
      </c>
      <c r="AD177" s="196">
        <f t="shared" ref="AD177" si="2971">IF(AD178=0,0,AC177+1)</f>
        <v>108</v>
      </c>
      <c r="AE177" s="196">
        <f t="shared" ref="AE177" si="2972">IF(AE178=0,0,AD177+1)</f>
        <v>109</v>
      </c>
      <c r="AF177" s="196">
        <f t="shared" ref="AF177" si="2973">IF(AF178=0,0,AE177+1)</f>
        <v>110</v>
      </c>
      <c r="AG177" s="196">
        <f t="shared" ref="AG177" si="2974">IF(AG178=0,0,AF177+1)</f>
        <v>111</v>
      </c>
      <c r="AH177" s="196">
        <f t="shared" ref="AH177" si="2975">IF(AH178=0,0,AG177+1)</f>
        <v>112</v>
      </c>
      <c r="AI177" s="196">
        <f t="shared" ref="AI177" si="2976">IF(AI178=0,0,AH177+1)</f>
        <v>113</v>
      </c>
      <c r="AJ177" s="196">
        <f t="shared" ref="AJ177" si="2977">IF(AJ178=0,0,AI177+1)</f>
        <v>114</v>
      </c>
      <c r="AK177" s="196">
        <f t="shared" ref="AK177" si="2978">IF(AK178=0,0,AJ177+1)</f>
        <v>115</v>
      </c>
      <c r="AL177" s="196">
        <f t="shared" ref="AL177" si="2979">IF(AL178=0,0,AK177+1)</f>
        <v>116</v>
      </c>
      <c r="AM177" s="196">
        <f t="shared" ref="AM177" si="2980">IF(AM178=0,0,AL177+1)</f>
        <v>117</v>
      </c>
      <c r="AN177" s="196">
        <f t="shared" ref="AN177" si="2981">IF(AN178=0,0,AM177+1)</f>
        <v>118</v>
      </c>
      <c r="AO177" s="196">
        <f t="shared" ref="AO177" si="2982">IF(AO178=0,0,AN177+1)</f>
        <v>119</v>
      </c>
      <c r="AP177" s="196">
        <f t="shared" ref="AP177" si="2983">IF(AP178=0,0,AO177+1)</f>
        <v>0</v>
      </c>
      <c r="AQ177" s="196">
        <f t="shared" ref="AQ177" si="2984">IF(AQ178=0,0,AP177+1)</f>
        <v>0</v>
      </c>
      <c r="AR177" s="196">
        <f t="shared" ref="AR177" si="2985">IF(AR178=0,0,AQ177+1)</f>
        <v>0</v>
      </c>
      <c r="AS177" s="196">
        <f t="shared" ref="AS177" si="2986">IF(AS178=0,0,AR177+1)</f>
        <v>0</v>
      </c>
      <c r="AT177" s="196">
        <f t="shared" ref="AT177" si="2987">IF(AT178=0,0,AS177+1)</f>
        <v>0</v>
      </c>
      <c r="AU177" s="196">
        <f t="shared" ref="AU177" si="2988">IF(AU178=0,0,AT177+1)</f>
        <v>0</v>
      </c>
      <c r="AV177" s="196">
        <f t="shared" ref="AV177" si="2989">IF(AV178=0,0,AU177+1)</f>
        <v>0</v>
      </c>
      <c r="AW177" s="196">
        <f t="shared" ref="AW177" si="2990">IF(AW178=0,0,AV177+1)</f>
        <v>0</v>
      </c>
      <c r="AX177" s="196">
        <f t="shared" ref="AX177" si="2991">IF(AX178=0,0,AW177+1)</f>
        <v>0</v>
      </c>
      <c r="AY177" s="196">
        <f t="shared" ref="AY177" si="2992">IF(AY178=0,0,AX177+1)</f>
        <v>0</v>
      </c>
      <c r="AZ177" s="196">
        <f t="shared" ref="AZ177" si="2993">IF(AZ178=0,0,AY177+1)</f>
        <v>0</v>
      </c>
      <c r="BA177" s="196">
        <f t="shared" ref="BA177" si="2994">IF(BA178=0,0,AZ177+1)</f>
        <v>0</v>
      </c>
      <c r="BB177" s="196">
        <f t="shared" ref="BB177" si="2995">IF(BB178=0,0,BA177+1)</f>
        <v>0</v>
      </c>
      <c r="BC177" s="196">
        <f t="shared" ref="BC177" si="2996">IF(BC178=0,0,BB177+1)</f>
        <v>0</v>
      </c>
      <c r="BD177" s="196">
        <f t="shared" ref="BD177" si="2997">IF(BD178=0,0,BC177+1)</f>
        <v>0</v>
      </c>
      <c r="BE177" s="196">
        <f t="shared" ref="BE177" si="2998">IF(BE178=0,0,BD177+1)</f>
        <v>0</v>
      </c>
      <c r="BF177" s="196">
        <f t="shared" ref="BF177" si="2999">IF(BF178=0,0,BE177+1)</f>
        <v>0</v>
      </c>
      <c r="BG177" s="196">
        <f t="shared" ref="BG177" si="3000">IF(BG178=0,0,BF177+1)</f>
        <v>0</v>
      </c>
      <c r="BH177" s="196">
        <f t="shared" ref="BH177" si="3001">IF(BH178=0,0,BG177+1)</f>
        <v>0</v>
      </c>
      <c r="BI177" s="196">
        <f t="shared" ref="BI177" si="3002">IF(BI178=0,0,BH177+1)</f>
        <v>0</v>
      </c>
      <c r="BJ177" s="196">
        <f t="shared" ref="BJ177" si="3003">IF(BJ178=0,0,BI177+1)</f>
        <v>0</v>
      </c>
      <c r="BK177" s="196">
        <f t="shared" ref="BK177" si="3004">IF(BK178=0,0,BJ177+1)</f>
        <v>0</v>
      </c>
    </row>
    <row r="178" spans="1:63" ht="7.8" x14ac:dyDescent="0.15">
      <c r="A178" s="216" t="s">
        <v>178</v>
      </c>
      <c r="B178" s="192"/>
      <c r="C178" s="192"/>
      <c r="D178" s="192"/>
      <c r="E178" s="192"/>
      <c r="F178" s="192"/>
      <c r="G178" s="192"/>
      <c r="H178" s="192"/>
      <c r="I178" s="192"/>
      <c r="J178" s="192"/>
      <c r="K178" s="192"/>
      <c r="L178" s="192"/>
      <c r="M178" s="192"/>
      <c r="N178" s="192"/>
      <c r="O178" s="192"/>
      <c r="P178" s="192"/>
      <c r="Q178" s="192"/>
      <c r="R178" s="192"/>
      <c r="S178" s="192"/>
      <c r="T178" s="192"/>
      <c r="U178" s="192"/>
      <c r="V178" s="192"/>
      <c r="W178" s="217">
        <f>LoanSize</f>
        <v>25</v>
      </c>
      <c r="X178" s="215">
        <f>IF(W178-W181&lt;=0.1,0,W178-W181)</f>
        <v>23.79027212253634</v>
      </c>
      <c r="Y178" s="215">
        <f t="shared" ref="Y178:BK178" si="3005">IF(X178-X181&lt;=0.1,0,X178-X181)</f>
        <v>22.56189427362845</v>
      </c>
      <c r="Z178" s="215">
        <f t="shared" si="3005"/>
        <v>21.314578932883229</v>
      </c>
      <c r="AA178" s="215">
        <f t="shared" si="3005"/>
        <v>20.048034147301522</v>
      </c>
      <c r="AB178" s="215">
        <f t="shared" si="3005"/>
        <v>18.761963462942095</v>
      </c>
      <c r="AC178" s="215">
        <f t="shared" si="3005"/>
        <v>17.456065855532128</v>
      </c>
      <c r="AD178" s="215">
        <f t="shared" si="3005"/>
        <v>16.130035660007923</v>
      </c>
      <c r="AE178" s="215">
        <f t="shared" si="3005"/>
        <v>14.783562498969387</v>
      </c>
      <c r="AF178" s="215">
        <f t="shared" si="3005"/>
        <v>13.416331210031506</v>
      </c>
      <c r="AG178" s="215">
        <f t="shared" si="3005"/>
        <v>12.028021772055833</v>
      </c>
      <c r="AH178" s="215">
        <f t="shared" si="3005"/>
        <v>10.618309230244702</v>
      </c>
      <c r="AI178" s="215">
        <f t="shared" si="3005"/>
        <v>9.1868636200806488</v>
      </c>
      <c r="AJ178" s="215">
        <f t="shared" si="3005"/>
        <v>7.7333498900932334</v>
      </c>
      <c r="AK178" s="215">
        <f t="shared" si="3005"/>
        <v>6.2574278234351794</v>
      </c>
      <c r="AL178" s="215">
        <f t="shared" si="3005"/>
        <v>4.7587519582494799</v>
      </c>
      <c r="AM178" s="215">
        <f t="shared" si="3005"/>
        <v>3.2369715068088345</v>
      </c>
      <c r="AN178" s="215">
        <f t="shared" si="3005"/>
        <v>1.6917302734084789</v>
      </c>
      <c r="AO178" s="215">
        <f t="shared" si="3005"/>
        <v>0.12266657099320111</v>
      </c>
      <c r="AP178" s="215">
        <f t="shared" si="3005"/>
        <v>0</v>
      </c>
      <c r="AQ178" s="215">
        <f t="shared" si="3005"/>
        <v>0</v>
      </c>
      <c r="AR178" s="215">
        <f t="shared" si="3005"/>
        <v>0</v>
      </c>
      <c r="AS178" s="215">
        <f t="shared" si="3005"/>
        <v>0</v>
      </c>
      <c r="AT178" s="215">
        <f t="shared" si="3005"/>
        <v>0</v>
      </c>
      <c r="AU178" s="215">
        <f t="shared" si="3005"/>
        <v>0</v>
      </c>
      <c r="AV178" s="215">
        <f t="shared" si="3005"/>
        <v>0</v>
      </c>
      <c r="AW178" s="215">
        <f t="shared" si="3005"/>
        <v>0</v>
      </c>
      <c r="AX178" s="215">
        <f t="shared" si="3005"/>
        <v>0</v>
      </c>
      <c r="AY178" s="215">
        <f t="shared" si="3005"/>
        <v>0</v>
      </c>
      <c r="AZ178" s="215">
        <f t="shared" si="3005"/>
        <v>0</v>
      </c>
      <c r="BA178" s="215">
        <f t="shared" si="3005"/>
        <v>0</v>
      </c>
      <c r="BB178" s="215">
        <f t="shared" si="3005"/>
        <v>0</v>
      </c>
      <c r="BC178" s="215">
        <f t="shared" si="3005"/>
        <v>0</v>
      </c>
      <c r="BD178" s="215">
        <f t="shared" si="3005"/>
        <v>0</v>
      </c>
      <c r="BE178" s="215">
        <f t="shared" si="3005"/>
        <v>0</v>
      </c>
      <c r="BF178" s="215">
        <f t="shared" si="3005"/>
        <v>0</v>
      </c>
      <c r="BG178" s="215">
        <f t="shared" si="3005"/>
        <v>0</v>
      </c>
      <c r="BH178" s="215">
        <f t="shared" si="3005"/>
        <v>0</v>
      </c>
      <c r="BI178" s="215">
        <f t="shared" si="3005"/>
        <v>0</v>
      </c>
      <c r="BJ178" s="215">
        <f t="shared" si="3005"/>
        <v>0</v>
      </c>
      <c r="BK178" s="215">
        <f t="shared" si="3005"/>
        <v>0</v>
      </c>
    </row>
    <row r="179" spans="1:63" ht="7.8" x14ac:dyDescent="0.15">
      <c r="A179" s="218" t="s">
        <v>179</v>
      </c>
      <c r="B179" s="192"/>
      <c r="C179" s="192"/>
      <c r="D179" s="192"/>
      <c r="E179" s="192"/>
      <c r="F179" s="192"/>
      <c r="G179" s="192"/>
      <c r="H179" s="192"/>
      <c r="I179" s="192"/>
      <c r="J179" s="192"/>
      <c r="K179" s="192"/>
      <c r="L179" s="192"/>
      <c r="M179" s="192"/>
      <c r="N179" s="192"/>
      <c r="O179" s="192"/>
      <c r="P179" s="192"/>
      <c r="Q179" s="192"/>
      <c r="R179" s="192"/>
      <c r="S179" s="192"/>
      <c r="T179" s="192"/>
      <c r="U179" s="192"/>
      <c r="V179" s="192"/>
      <c r="W179" s="219">
        <f>IF(W178=0,0,PMT(INDEX(LoanCohortRate,1),LoanTerm, -LoanSize))</f>
        <v>1.5951445441303251</v>
      </c>
      <c r="X179" s="222">
        <f t="shared" ref="X179" si="3006">IF(X178=0,0, W179)</f>
        <v>1.5951445441303251</v>
      </c>
      <c r="Y179" s="222">
        <f t="shared" ref="Y179" si="3007">IF(Y178=0,0, X179)</f>
        <v>1.5951445441303251</v>
      </c>
      <c r="Z179" s="222">
        <f t="shared" ref="Z179" si="3008">IF(Z178=0,0, Y179)</f>
        <v>1.5951445441303251</v>
      </c>
      <c r="AA179" s="222">
        <f t="shared" ref="AA179" si="3009">IF(AA178=0,0, Z179)</f>
        <v>1.5951445441303251</v>
      </c>
      <c r="AB179" s="222">
        <f t="shared" ref="AB179" si="3010">IF(AB178=0,0, AA179)</f>
        <v>1.5951445441303251</v>
      </c>
      <c r="AC179" s="222">
        <f t="shared" ref="AC179" si="3011">IF(AC178=0,0, AB179)</f>
        <v>1.5951445441303251</v>
      </c>
      <c r="AD179" s="222">
        <f t="shared" ref="AD179" si="3012">IF(AD178=0,0, AC179)</f>
        <v>1.5951445441303251</v>
      </c>
      <c r="AE179" s="222">
        <f t="shared" ref="AE179" si="3013">IF(AE178=0,0, AD179)</f>
        <v>1.5951445441303251</v>
      </c>
      <c r="AF179" s="222">
        <f t="shared" ref="AF179" si="3014">IF(AF178=0,0, AE179)</f>
        <v>1.5951445441303251</v>
      </c>
      <c r="AG179" s="222">
        <f t="shared" ref="AG179" si="3015">IF(AG178=0,0, AF179)</f>
        <v>1.5951445441303251</v>
      </c>
      <c r="AH179" s="222">
        <f t="shared" ref="AH179" si="3016">IF(AH178=0,0, AG179)</f>
        <v>1.5951445441303251</v>
      </c>
      <c r="AI179" s="222">
        <f t="shared" ref="AI179" si="3017">IF(AI178=0,0, AH179)</f>
        <v>1.5951445441303251</v>
      </c>
      <c r="AJ179" s="222">
        <f t="shared" ref="AJ179" si="3018">IF(AJ178=0,0, AI179)</f>
        <v>1.5951445441303251</v>
      </c>
      <c r="AK179" s="222">
        <f t="shared" ref="AK179" si="3019">IF(AK178=0,0, AJ179)</f>
        <v>1.5951445441303251</v>
      </c>
      <c r="AL179" s="222">
        <f t="shared" ref="AL179" si="3020">IF(AL178=0,0, AK179)</f>
        <v>1.5951445441303251</v>
      </c>
      <c r="AM179" s="222">
        <f t="shared" ref="AM179" si="3021">IF(AM178=0,0, AL179)</f>
        <v>1.5951445441303251</v>
      </c>
      <c r="AN179" s="222">
        <f t="shared" ref="AN179" si="3022">IF(AN178=0,0, AM179)</f>
        <v>1.5951445441303251</v>
      </c>
      <c r="AO179" s="222">
        <f t="shared" ref="AO179" si="3023">IF(AO178=0,0, AN179)</f>
        <v>1.5951445441303251</v>
      </c>
      <c r="AP179" s="222">
        <f t="shared" ref="AP179" si="3024">IF(AP178=0,0, AO179)</f>
        <v>0</v>
      </c>
      <c r="AQ179" s="222">
        <f t="shared" ref="AQ179" si="3025">IF(AQ178=0,0, AP179)</f>
        <v>0</v>
      </c>
      <c r="AR179" s="222">
        <f t="shared" ref="AR179" si="3026">IF(AR178=0,0, AQ179)</f>
        <v>0</v>
      </c>
      <c r="AS179" s="222">
        <f t="shared" ref="AS179" si="3027">IF(AS178=0,0, AR179)</f>
        <v>0</v>
      </c>
      <c r="AT179" s="222">
        <f t="shared" ref="AT179" si="3028">IF(AT178=0,0, AS179)</f>
        <v>0</v>
      </c>
      <c r="AU179" s="222">
        <f t="shared" ref="AU179" si="3029">IF(AU178=0,0, AT179)</f>
        <v>0</v>
      </c>
      <c r="AV179" s="222">
        <f t="shared" ref="AV179" si="3030">IF(AV178=0,0, AU179)</f>
        <v>0</v>
      </c>
      <c r="AW179" s="222">
        <f t="shared" ref="AW179" si="3031">IF(AW178=0,0, AV179)</f>
        <v>0</v>
      </c>
      <c r="AX179" s="222">
        <f t="shared" ref="AX179" si="3032">IF(AX178=0,0, AW179)</f>
        <v>0</v>
      </c>
      <c r="AY179" s="222">
        <f t="shared" ref="AY179" si="3033">IF(AY178=0,0, AX179)</f>
        <v>0</v>
      </c>
      <c r="AZ179" s="222">
        <f t="shared" ref="AZ179" si="3034">IF(AZ178=0,0, AY179)</f>
        <v>0</v>
      </c>
      <c r="BA179" s="222">
        <f t="shared" ref="BA179" si="3035">IF(BA178=0,0, AZ179)</f>
        <v>0</v>
      </c>
      <c r="BB179" s="222">
        <f t="shared" ref="BB179" si="3036">IF(BB178=0,0, BA179)</f>
        <v>0</v>
      </c>
      <c r="BC179" s="222">
        <f t="shared" ref="BC179" si="3037">IF(BC178=0,0, BB179)</f>
        <v>0</v>
      </c>
      <c r="BD179" s="222">
        <f t="shared" ref="BD179" si="3038">IF(BD178=0,0, BC179)</f>
        <v>0</v>
      </c>
      <c r="BE179" s="222">
        <f t="shared" ref="BE179" si="3039">IF(BE178=0,0, BD179)</f>
        <v>0</v>
      </c>
      <c r="BF179" s="222">
        <f t="shared" ref="BF179" si="3040">IF(BF178=0,0, BE179)</f>
        <v>0</v>
      </c>
      <c r="BG179" s="222">
        <f t="shared" ref="BG179" si="3041">IF(BG178=0,0, BF179)</f>
        <v>0</v>
      </c>
      <c r="BH179" s="222">
        <f t="shared" ref="BH179" si="3042">IF(BH178=0,0, BG179)</f>
        <v>0</v>
      </c>
      <c r="BI179" s="222">
        <f t="shared" ref="BI179" si="3043">IF(BI178=0,0, BH179)</f>
        <v>0</v>
      </c>
      <c r="BJ179" s="222">
        <f t="shared" ref="BJ179" si="3044">IF(BJ178=0,0, BI179)</f>
        <v>0</v>
      </c>
      <c r="BK179" s="222">
        <f t="shared" ref="BK179" si="3045">IF(BK178=0,0, BJ179)</f>
        <v>0</v>
      </c>
    </row>
    <row r="180" spans="1:63" ht="7.8" x14ac:dyDescent="0.15">
      <c r="A180" s="218" t="s">
        <v>180</v>
      </c>
      <c r="B180" s="192"/>
      <c r="C180" s="192"/>
      <c r="D180" s="192"/>
      <c r="E180" s="192"/>
      <c r="F180" s="192"/>
      <c r="G180" s="192"/>
      <c r="H180" s="192"/>
      <c r="I180" s="192"/>
      <c r="J180" s="192"/>
      <c r="K180" s="192"/>
      <c r="L180" s="192"/>
      <c r="M180" s="192"/>
      <c r="N180" s="192"/>
      <c r="O180" s="192"/>
      <c r="P180" s="192"/>
      <c r="Q180" s="192"/>
      <c r="R180" s="192"/>
      <c r="S180" s="192"/>
      <c r="T180" s="192"/>
      <c r="U180" s="192"/>
      <c r="V180" s="192"/>
      <c r="W180" s="220" cm="1">
        <f t="array" ref="W180">W178*INDEX(LoanCohortRate,$A177)</f>
        <v>0.38541666666666669</v>
      </c>
      <c r="X180" s="221" cm="1">
        <f t="array" ref="X180">X178*INDEX(LoanCohortRate,$A177)</f>
        <v>0.36676669522243527</v>
      </c>
      <c r="Y180" s="221" cm="1">
        <f t="array" ref="Y180">Y178*INDEX(LoanCohortRate,$A177)</f>
        <v>0.34782920338510526</v>
      </c>
      <c r="Z180" s="221" cm="1">
        <f t="array" ref="Z180">Z178*INDEX(LoanCohortRate,$A177)</f>
        <v>0.32859975854861645</v>
      </c>
      <c r="AA180" s="221" cm="1">
        <f t="array" ref="AA180">AA178*INDEX(LoanCohortRate,$A177)</f>
        <v>0.30907385977089846</v>
      </c>
      <c r="AB180" s="221" cm="1">
        <f t="array" ref="AB180">AB178*INDEX(LoanCohortRate,$A177)</f>
        <v>0.28924693672035728</v>
      </c>
      <c r="AC180" s="221" cm="1">
        <f t="array" ref="AC180">AC178*INDEX(LoanCohortRate,$A177)</f>
        <v>0.26911434860612032</v>
      </c>
      <c r="AD180" s="221" cm="1">
        <f t="array" ref="AD180">AD178*INDEX(LoanCohortRate,$A177)</f>
        <v>0.24867138309178882</v>
      </c>
      <c r="AE180" s="221" cm="1">
        <f t="array" ref="AE180">AE178*INDEX(LoanCohortRate,$A177)</f>
        <v>0.22791325519244471</v>
      </c>
      <c r="AF180" s="221" cm="1">
        <f t="array" ref="AF180">AF178*INDEX(LoanCohortRate,$A177)</f>
        <v>0.20683510615465239</v>
      </c>
      <c r="AG180" s="221" cm="1">
        <f t="array" ref="AG180">AG178*INDEX(LoanCohortRate,$A177)</f>
        <v>0.1854320023191941</v>
      </c>
      <c r="AH180" s="221" cm="1">
        <f t="array" ref="AH180">AH178*INDEX(LoanCohortRate,$A177)</f>
        <v>0.1636989339662725</v>
      </c>
      <c r="AI180" s="221" cm="1">
        <f t="array" ref="AI180">AI178*INDEX(LoanCohortRate,$A177)</f>
        <v>0.14163081414291001</v>
      </c>
      <c r="AJ180" s="221" cm="1">
        <f t="array" ref="AJ180">AJ178*INDEX(LoanCohortRate,$A177)</f>
        <v>0.11922247747227069</v>
      </c>
      <c r="AK180" s="221" cm="1">
        <f t="array" ref="AK180">AK178*INDEX(LoanCohortRate,$A177)</f>
        <v>9.6468678944625685E-2</v>
      </c>
      <c r="AL180" s="221" cm="1">
        <f t="array" ref="AL180">AL178*INDEX(LoanCohortRate,$A177)</f>
        <v>7.3364092689679486E-2</v>
      </c>
      <c r="AM180" s="221" cm="1">
        <f t="array" ref="AM180">AM178*INDEX(LoanCohortRate,$A177)</f>
        <v>4.9903310729969536E-2</v>
      </c>
      <c r="AN180" s="221" cm="1">
        <f t="array" ref="AN180">AN178*INDEX(LoanCohortRate,$A177)</f>
        <v>2.6080841715047383E-2</v>
      </c>
      <c r="AO180" s="221" cm="1">
        <f t="array" ref="AO180">AO178*INDEX(LoanCohortRate,$A177)</f>
        <v>1.8911096361451838E-3</v>
      </c>
      <c r="AP180" s="221" cm="1">
        <f t="array" ref="AP180">AP178*INDEX(LoanCohortRate,$A177)</f>
        <v>0</v>
      </c>
      <c r="AQ180" s="221" cm="1">
        <f t="array" ref="AQ180">AQ178*INDEX(LoanCohortRate,$A177)</f>
        <v>0</v>
      </c>
      <c r="AR180" s="221" cm="1">
        <f t="array" ref="AR180">AR178*INDEX(LoanCohortRate,$A177)</f>
        <v>0</v>
      </c>
      <c r="AS180" s="221" cm="1">
        <f t="array" ref="AS180">AS178*INDEX(LoanCohortRate,$A177)</f>
        <v>0</v>
      </c>
      <c r="AT180" s="221" cm="1">
        <f t="array" ref="AT180">AT178*INDEX(LoanCohortRate,$A177)</f>
        <v>0</v>
      </c>
      <c r="AU180" s="221" cm="1">
        <f t="array" ref="AU180">AU178*INDEX(LoanCohortRate,$A177)</f>
        <v>0</v>
      </c>
      <c r="AV180" s="221" cm="1">
        <f t="array" ref="AV180">AV178*INDEX(LoanCohortRate,$A177)</f>
        <v>0</v>
      </c>
      <c r="AW180" s="221" cm="1">
        <f t="array" ref="AW180">AW178*INDEX(LoanCohortRate,$A177)</f>
        <v>0</v>
      </c>
      <c r="AX180" s="221" cm="1">
        <f t="array" ref="AX180">AX178*INDEX(LoanCohortRate,$A177)</f>
        <v>0</v>
      </c>
      <c r="AY180" s="221" cm="1">
        <f t="array" ref="AY180">AY178*INDEX(LoanCohortRate,$A177)</f>
        <v>0</v>
      </c>
      <c r="AZ180" s="221" cm="1">
        <f t="array" ref="AZ180">AZ178*INDEX(LoanCohortRate,$A177)</f>
        <v>0</v>
      </c>
      <c r="BA180" s="221" cm="1">
        <f t="array" ref="BA180">BA178*INDEX(LoanCohortRate,$A177)</f>
        <v>0</v>
      </c>
      <c r="BB180" s="221" cm="1">
        <f t="array" ref="BB180">BB178*INDEX(LoanCohortRate,$A177)</f>
        <v>0</v>
      </c>
      <c r="BC180" s="221" cm="1">
        <f t="array" ref="BC180">BC178*INDEX(LoanCohortRate,$A177)</f>
        <v>0</v>
      </c>
      <c r="BD180" s="221" cm="1">
        <f t="array" ref="BD180">BD178*INDEX(LoanCohortRate,$A177)</f>
        <v>0</v>
      </c>
      <c r="BE180" s="221" cm="1">
        <f t="array" ref="BE180">BE178*INDEX(LoanCohortRate,$A177)</f>
        <v>0</v>
      </c>
      <c r="BF180" s="221" cm="1">
        <f t="array" ref="BF180">BF178*INDEX(LoanCohortRate,$A177)</f>
        <v>0</v>
      </c>
      <c r="BG180" s="221" cm="1">
        <f t="array" ref="BG180">BG178*INDEX(LoanCohortRate,$A177)</f>
        <v>0</v>
      </c>
      <c r="BH180" s="221" cm="1">
        <f t="array" ref="BH180">BH178*INDEX(LoanCohortRate,$A177)</f>
        <v>0</v>
      </c>
      <c r="BI180" s="221" cm="1">
        <f t="array" ref="BI180">BI178*INDEX(LoanCohortRate,$A177)</f>
        <v>0</v>
      </c>
      <c r="BJ180" s="221" cm="1">
        <f t="array" ref="BJ180">BJ178*INDEX(LoanCohortRate,$A177)</f>
        <v>0</v>
      </c>
      <c r="BK180" s="221" cm="1">
        <f t="array" ref="BK180">BK178*INDEX(LoanCohortRate,$A177)</f>
        <v>0</v>
      </c>
    </row>
    <row r="181" spans="1:63" ht="7.8" x14ac:dyDescent="0.15">
      <c r="A181" s="218" t="s">
        <v>177</v>
      </c>
      <c r="B181" s="192"/>
      <c r="C181" s="192"/>
      <c r="D181" s="192"/>
      <c r="E181" s="192"/>
      <c r="F181" s="192"/>
      <c r="G181" s="192"/>
      <c r="H181" s="192"/>
      <c r="I181" s="192"/>
      <c r="J181" s="192"/>
      <c r="K181" s="192"/>
      <c r="L181" s="192"/>
      <c r="M181" s="192"/>
      <c r="N181" s="192"/>
      <c r="O181" s="192"/>
      <c r="P181" s="192"/>
      <c r="Q181" s="192"/>
      <c r="R181" s="192"/>
      <c r="S181" s="192"/>
      <c r="T181" s="192"/>
      <c r="U181" s="192"/>
      <c r="V181" s="192"/>
      <c r="W181" s="219">
        <f>W179-W180</f>
        <v>1.2097278774636584</v>
      </c>
      <c r="X181" s="222">
        <f t="shared" ref="X181:BK181" si="3046">X179-X180</f>
        <v>1.2283778489078898</v>
      </c>
      <c r="Y181" s="222">
        <f t="shared" si="3046"/>
        <v>1.24731534074522</v>
      </c>
      <c r="Z181" s="222">
        <f t="shared" si="3046"/>
        <v>1.2665447855817087</v>
      </c>
      <c r="AA181" s="222">
        <f t="shared" si="3046"/>
        <v>1.2860706843594267</v>
      </c>
      <c r="AB181" s="222">
        <f t="shared" si="3046"/>
        <v>1.305897607409968</v>
      </c>
      <c r="AC181" s="222">
        <f t="shared" si="3046"/>
        <v>1.3260301955242049</v>
      </c>
      <c r="AD181" s="222">
        <f t="shared" si="3046"/>
        <v>1.3464731610385363</v>
      </c>
      <c r="AE181" s="222">
        <f t="shared" si="3046"/>
        <v>1.3672312889378804</v>
      </c>
      <c r="AF181" s="222">
        <f t="shared" si="3046"/>
        <v>1.3883094379756726</v>
      </c>
      <c r="AG181" s="222">
        <f t="shared" si="3046"/>
        <v>1.4097125418111309</v>
      </c>
      <c r="AH181" s="222">
        <f t="shared" si="3046"/>
        <v>1.4314456101640527</v>
      </c>
      <c r="AI181" s="222">
        <f t="shared" si="3046"/>
        <v>1.453513729987415</v>
      </c>
      <c r="AJ181" s="222">
        <f t="shared" si="3046"/>
        <v>1.4759220666580544</v>
      </c>
      <c r="AK181" s="222">
        <f t="shared" si="3046"/>
        <v>1.4986758651856995</v>
      </c>
      <c r="AL181" s="222">
        <f t="shared" si="3046"/>
        <v>1.5217804514406457</v>
      </c>
      <c r="AM181" s="222">
        <f t="shared" si="3046"/>
        <v>1.5452412334003556</v>
      </c>
      <c r="AN181" s="222">
        <f t="shared" si="3046"/>
        <v>1.5690637024152778</v>
      </c>
      <c r="AO181" s="222">
        <f t="shared" si="3046"/>
        <v>1.59325343449418</v>
      </c>
      <c r="AP181" s="222">
        <f t="shared" si="3046"/>
        <v>0</v>
      </c>
      <c r="AQ181" s="222">
        <f t="shared" si="3046"/>
        <v>0</v>
      </c>
      <c r="AR181" s="222">
        <f t="shared" si="3046"/>
        <v>0</v>
      </c>
      <c r="AS181" s="222">
        <f t="shared" si="3046"/>
        <v>0</v>
      </c>
      <c r="AT181" s="222">
        <f t="shared" si="3046"/>
        <v>0</v>
      </c>
      <c r="AU181" s="222">
        <f t="shared" si="3046"/>
        <v>0</v>
      </c>
      <c r="AV181" s="222">
        <f t="shared" si="3046"/>
        <v>0</v>
      </c>
      <c r="AW181" s="222">
        <f t="shared" si="3046"/>
        <v>0</v>
      </c>
      <c r="AX181" s="222">
        <f t="shared" si="3046"/>
        <v>0</v>
      </c>
      <c r="AY181" s="222">
        <f t="shared" si="3046"/>
        <v>0</v>
      </c>
      <c r="AZ181" s="222">
        <f t="shared" si="3046"/>
        <v>0</v>
      </c>
      <c r="BA181" s="222">
        <f t="shared" si="3046"/>
        <v>0</v>
      </c>
      <c r="BB181" s="222">
        <f t="shared" si="3046"/>
        <v>0</v>
      </c>
      <c r="BC181" s="222">
        <f t="shared" si="3046"/>
        <v>0</v>
      </c>
      <c r="BD181" s="222">
        <f t="shared" si="3046"/>
        <v>0</v>
      </c>
      <c r="BE181" s="222">
        <f t="shared" si="3046"/>
        <v>0</v>
      </c>
      <c r="BF181" s="222">
        <f t="shared" si="3046"/>
        <v>0</v>
      </c>
      <c r="BG181" s="222">
        <f t="shared" si="3046"/>
        <v>0</v>
      </c>
      <c r="BH181" s="222">
        <f t="shared" si="3046"/>
        <v>0</v>
      </c>
      <c r="BI181" s="222">
        <f t="shared" si="3046"/>
        <v>0</v>
      </c>
      <c r="BJ181" s="222">
        <f t="shared" si="3046"/>
        <v>0</v>
      </c>
      <c r="BK181" s="222">
        <f t="shared" si="3046"/>
        <v>0</v>
      </c>
    </row>
    <row r="182" spans="1:63" ht="7.8" x14ac:dyDescent="0.15">
      <c r="A182" s="205" t="s">
        <v>7</v>
      </c>
      <c r="B182" s="192"/>
      <c r="C182" s="192"/>
      <c r="D182" s="192"/>
      <c r="E182" s="192"/>
      <c r="F182" s="192"/>
      <c r="G182" s="192"/>
      <c r="H182" s="192"/>
      <c r="I182" s="192"/>
      <c r="J182" s="192"/>
      <c r="K182" s="192"/>
      <c r="L182" s="192"/>
      <c r="M182" s="192"/>
      <c r="N182" s="192"/>
      <c r="O182" s="192"/>
      <c r="P182" s="192"/>
      <c r="Q182" s="192"/>
      <c r="R182" s="192"/>
      <c r="S182" s="192"/>
      <c r="T182" s="192"/>
      <c r="U182" s="192"/>
      <c r="V182" s="192"/>
      <c r="W182" s="214" cm="1">
        <f t="array" ref="W182">INDEX(LoanOriginations,$A177)</f>
        <v>109.93985842654011</v>
      </c>
      <c r="X182" s="199">
        <f t="shared" ref="X182:BK182" si="3047">W182*(1-MitigateDelinquency*MitigateChargeoff)  *  IF(X177=0,0,IF(X177-102=LoanSaleHeld,0.6,1))</f>
        <v>109.82991856811357</v>
      </c>
      <c r="Y182" s="199">
        <f t="shared" si="3047"/>
        <v>109.72008864954546</v>
      </c>
      <c r="Z182" s="199">
        <f t="shared" si="3047"/>
        <v>109.61036856089592</v>
      </c>
      <c r="AA182" s="199">
        <f t="shared" si="3047"/>
        <v>65.700454915401011</v>
      </c>
      <c r="AB182" s="199">
        <f t="shared" si="3047"/>
        <v>65.63475446048561</v>
      </c>
      <c r="AC182" s="199">
        <f t="shared" si="3047"/>
        <v>65.56911970602512</v>
      </c>
      <c r="AD182" s="199">
        <f t="shared" si="3047"/>
        <v>65.503550586319093</v>
      </c>
      <c r="AE182" s="199">
        <f t="shared" si="3047"/>
        <v>65.438047035732779</v>
      </c>
      <c r="AF182" s="199">
        <f t="shared" si="3047"/>
        <v>65.372608988697053</v>
      </c>
      <c r="AG182" s="199">
        <f t="shared" si="3047"/>
        <v>65.307236379708357</v>
      </c>
      <c r="AH182" s="199">
        <f t="shared" si="3047"/>
        <v>65.241929143328647</v>
      </c>
      <c r="AI182" s="199">
        <f t="shared" si="3047"/>
        <v>65.176687214185321</v>
      </c>
      <c r="AJ182" s="199">
        <f t="shared" si="3047"/>
        <v>65.111510526971131</v>
      </c>
      <c r="AK182" s="199">
        <f t="shared" si="3047"/>
        <v>65.046399016444155</v>
      </c>
      <c r="AL182" s="199">
        <f t="shared" si="3047"/>
        <v>64.981352617427717</v>
      </c>
      <c r="AM182" s="199">
        <f t="shared" si="3047"/>
        <v>64.916371264810294</v>
      </c>
      <c r="AN182" s="199">
        <f t="shared" si="3047"/>
        <v>64.85145489354548</v>
      </c>
      <c r="AO182" s="199">
        <f t="shared" si="3047"/>
        <v>64.786603438651937</v>
      </c>
      <c r="AP182" s="199">
        <f t="shared" si="3047"/>
        <v>0</v>
      </c>
      <c r="AQ182" s="199">
        <f t="shared" si="3047"/>
        <v>0</v>
      </c>
      <c r="AR182" s="199">
        <f t="shared" si="3047"/>
        <v>0</v>
      </c>
      <c r="AS182" s="199">
        <f t="shared" si="3047"/>
        <v>0</v>
      </c>
      <c r="AT182" s="199">
        <f t="shared" si="3047"/>
        <v>0</v>
      </c>
      <c r="AU182" s="199">
        <f t="shared" si="3047"/>
        <v>0</v>
      </c>
      <c r="AV182" s="199">
        <f t="shared" si="3047"/>
        <v>0</v>
      </c>
      <c r="AW182" s="199">
        <f t="shared" si="3047"/>
        <v>0</v>
      </c>
      <c r="AX182" s="199">
        <f t="shared" si="3047"/>
        <v>0</v>
      </c>
      <c r="AY182" s="199">
        <f t="shared" si="3047"/>
        <v>0</v>
      </c>
      <c r="AZ182" s="199">
        <f t="shared" si="3047"/>
        <v>0</v>
      </c>
      <c r="BA182" s="199">
        <f t="shared" si="3047"/>
        <v>0</v>
      </c>
      <c r="BB182" s="199">
        <f t="shared" si="3047"/>
        <v>0</v>
      </c>
      <c r="BC182" s="199">
        <f t="shared" si="3047"/>
        <v>0</v>
      </c>
      <c r="BD182" s="199">
        <f t="shared" si="3047"/>
        <v>0</v>
      </c>
      <c r="BE182" s="199">
        <f t="shared" si="3047"/>
        <v>0</v>
      </c>
      <c r="BF182" s="199">
        <f t="shared" si="3047"/>
        <v>0</v>
      </c>
      <c r="BG182" s="199">
        <f t="shared" si="3047"/>
        <v>0</v>
      </c>
      <c r="BH182" s="199">
        <f t="shared" si="3047"/>
        <v>0</v>
      </c>
      <c r="BI182" s="199">
        <f t="shared" si="3047"/>
        <v>0</v>
      </c>
      <c r="BJ182" s="199">
        <f t="shared" si="3047"/>
        <v>0</v>
      </c>
      <c r="BK182" s="199">
        <f t="shared" si="3047"/>
        <v>0</v>
      </c>
    </row>
    <row r="183" spans="1:63" ht="7.8" x14ac:dyDescent="0.15">
      <c r="A183" s="207" t="s">
        <v>96</v>
      </c>
      <c r="B183" s="192"/>
      <c r="C183" s="192"/>
      <c r="D183" s="192"/>
      <c r="E183" s="192"/>
      <c r="F183" s="192"/>
      <c r="G183" s="192"/>
      <c r="H183" s="192"/>
      <c r="I183" s="192"/>
      <c r="J183" s="192"/>
      <c r="K183" s="192"/>
      <c r="L183" s="192"/>
      <c r="M183" s="192"/>
      <c r="N183" s="192"/>
      <c r="O183" s="192"/>
      <c r="P183" s="192"/>
      <c r="Q183" s="192"/>
      <c r="R183" s="192"/>
      <c r="S183" s="192"/>
      <c r="T183" s="192"/>
      <c r="U183" s="192"/>
      <c r="V183" s="192"/>
      <c r="W183" s="223">
        <f>W180*W182</f>
        <v>42.372653768562337</v>
      </c>
      <c r="X183" s="200">
        <f t="shared" ref="X183" si="3048">X180*X182</f>
        <v>40.281956269776195</v>
      </c>
      <c r="Y183" s="200">
        <f t="shared" ref="Y183" si="3049">Y180*Y182</f>
        <v>38.163851030314525</v>
      </c>
      <c r="Z183" s="200">
        <f t="shared" ref="Z183" si="3050">Z180*Z182</f>
        <v>36.017940643535262</v>
      </c>
      <c r="AA183" s="200">
        <f t="shared" ref="AA183" si="3051">AA180*AA182</f>
        <v>20.30629318940689</v>
      </c>
      <c r="AB183" s="200">
        <f t="shared" ref="AB183" si="3052">AB180*AB182</f>
        <v>18.984651670088269</v>
      </c>
      <c r="AC183" s="200">
        <f t="shared" ref="AC183" si="3053">AC180*AC182</f>
        <v>17.645590938363679</v>
      </c>
      <c r="AD183" s="200">
        <f t="shared" ref="AD183" si="3054">AD180*AD182</f>
        <v>16.288858521722922</v>
      </c>
      <c r="AE183" s="200">
        <f t="shared" ref="AE183" si="3055">AE180*AE182</f>
        <v>14.914198313350164</v>
      </c>
      <c r="AF183" s="200">
        <f t="shared" ref="AF183" si="3056">AF180*AF182</f>
        <v>13.521350519783738</v>
      </c>
      <c r="AG183" s="200">
        <f t="shared" ref="AG183" si="3057">AG180*AG182</f>
        <v>12.110051607822237</v>
      </c>
      <c r="AH183" s="200">
        <f t="shared" ref="AH183" si="3058">AH180*AH182</f>
        <v>10.680034250665985</v>
      </c>
      <c r="AI183" s="200">
        <f t="shared" ref="AI183" si="3059">AI180*AI182</f>
        <v>9.2310272732828604</v>
      </c>
      <c r="AJ183" s="200">
        <f t="shared" ref="AJ183" si="3060">AJ180*AJ182</f>
        <v>7.762755596987331</v>
      </c>
      <c r="AK183" s="200">
        <f t="shared" ref="AK183" si="3061">AK180*AK182</f>
        <v>6.2749401832213669</v>
      </c>
      <c r="AL183" s="200">
        <f t="shared" ref="AL183" si="3062">AL180*AL182</f>
        <v>4.7672979765257137</v>
      </c>
      <c r="AM183" s="200">
        <f t="shared" ref="AM183" si="3063">AM180*AM182</f>
        <v>3.2395418466898938</v>
      </c>
      <c r="AN183" s="200">
        <f t="shared" ref="AN183" si="3064">AN180*AN182</f>
        <v>1.6913805300690947</v>
      </c>
      <c r="AO183" s="200">
        <f t="shared" ref="AO183" si="3065">AO180*AO182</f>
        <v>0.12251857005595138</v>
      </c>
      <c r="AP183" s="200">
        <f t="shared" ref="AP183" si="3066">AP180*AP182</f>
        <v>0</v>
      </c>
      <c r="AQ183" s="200">
        <f t="shared" ref="AQ183" si="3067">AQ180*AQ182</f>
        <v>0</v>
      </c>
      <c r="AR183" s="200">
        <f t="shared" ref="AR183" si="3068">AR180*AR182</f>
        <v>0</v>
      </c>
      <c r="AS183" s="200">
        <f t="shared" ref="AS183" si="3069">AS180*AS182</f>
        <v>0</v>
      </c>
      <c r="AT183" s="200">
        <f t="shared" ref="AT183" si="3070">AT180*AT182</f>
        <v>0</v>
      </c>
      <c r="AU183" s="200">
        <f t="shared" ref="AU183" si="3071">AU180*AU182</f>
        <v>0</v>
      </c>
      <c r="AV183" s="200">
        <f t="shared" ref="AV183" si="3072">AV180*AV182</f>
        <v>0</v>
      </c>
      <c r="AW183" s="200">
        <f t="shared" ref="AW183" si="3073">AW180*AW182</f>
        <v>0</v>
      </c>
      <c r="AX183" s="200">
        <f t="shared" ref="AX183" si="3074">AX180*AX182</f>
        <v>0</v>
      </c>
      <c r="AY183" s="200">
        <f t="shared" ref="AY183" si="3075">AY180*AY182</f>
        <v>0</v>
      </c>
      <c r="AZ183" s="200">
        <f t="shared" ref="AZ183" si="3076">AZ180*AZ182</f>
        <v>0</v>
      </c>
      <c r="BA183" s="200">
        <f t="shared" ref="BA183" si="3077">BA180*BA182</f>
        <v>0</v>
      </c>
      <c r="BB183" s="200">
        <f t="shared" ref="BB183" si="3078">BB180*BB182</f>
        <v>0</v>
      </c>
      <c r="BC183" s="200">
        <f t="shared" ref="BC183" si="3079">BC180*BC182</f>
        <v>0</v>
      </c>
      <c r="BD183" s="200">
        <f t="shared" ref="BD183" si="3080">BD180*BD182</f>
        <v>0</v>
      </c>
      <c r="BE183" s="200">
        <f t="shared" ref="BE183" si="3081">BE180*BE182</f>
        <v>0</v>
      </c>
      <c r="BF183" s="200">
        <f t="shared" ref="BF183" si="3082">BF180*BF182</f>
        <v>0</v>
      </c>
      <c r="BG183" s="200">
        <f t="shared" ref="BG183" si="3083">BG180*BG182</f>
        <v>0</v>
      </c>
      <c r="BH183" s="200">
        <f t="shared" ref="BH183" si="3084">BH180*BH182</f>
        <v>0</v>
      </c>
      <c r="BI183" s="200">
        <f t="shared" ref="BI183" si="3085">BI180*BI182</f>
        <v>0</v>
      </c>
      <c r="BJ183" s="200">
        <f t="shared" ref="BJ183" si="3086">BJ180*BJ182</f>
        <v>0</v>
      </c>
      <c r="BK183" s="200">
        <f t="shared" ref="BK183" si="3087">BK180*BK182</f>
        <v>0</v>
      </c>
    </row>
    <row r="184" spans="1:63" ht="7.8" x14ac:dyDescent="0.15">
      <c r="A184" s="206" t="s">
        <v>97</v>
      </c>
      <c r="B184" s="192"/>
      <c r="C184" s="192"/>
      <c r="D184" s="192"/>
      <c r="E184" s="192"/>
      <c r="F184" s="192"/>
      <c r="G184" s="192"/>
      <c r="H184" s="192"/>
      <c r="I184" s="192"/>
      <c r="J184" s="192"/>
      <c r="K184" s="192"/>
      <c r="L184" s="192"/>
      <c r="M184" s="192"/>
      <c r="N184" s="192"/>
      <c r="O184" s="192"/>
      <c r="P184" s="192"/>
      <c r="Q184" s="192"/>
      <c r="R184" s="192"/>
      <c r="S184" s="192"/>
      <c r="T184" s="192"/>
      <c r="U184" s="192"/>
      <c r="V184" s="192"/>
      <c r="W184" s="223">
        <f>W181*W182</f>
        <v>132.99731158299346</v>
      </c>
      <c r="X184" s="200">
        <f>X181*X182</f>
        <v>134.91263911642804</v>
      </c>
      <c r="Y184" s="200">
        <f t="shared" ref="Y184:BK184" si="3088">Y181*Y182</f>
        <v>136.85554976050355</v>
      </c>
      <c r="Z184" s="200">
        <f t="shared" si="3088"/>
        <v>138.82644074649198</v>
      </c>
      <c r="AA184" s="200">
        <f t="shared" si="3088"/>
        <v>84.495429015775443</v>
      </c>
      <c r="AB184" s="200">
        <f t="shared" si="3088"/>
        <v>85.71226881288888</v>
      </c>
      <c r="AC184" s="200">
        <f t="shared" si="3088"/>
        <v>86.946632624130487</v>
      </c>
      <c r="AD184" s="200">
        <f t="shared" si="3088"/>
        <v>88.198772817208734</v>
      </c>
      <c r="AE184" s="200">
        <f t="shared" si="3088"/>
        <v>89.468945394242567</v>
      </c>
      <c r="AF184" s="200">
        <f t="shared" si="3088"/>
        <v>90.757410044101405</v>
      </c>
      <c r="AG184" s="200">
        <f t="shared" si="3088"/>
        <v>92.064430195499028</v>
      </c>
      <c r="AH184" s="200">
        <f t="shared" si="3088"/>
        <v>93.390273070851961</v>
      </c>
      <c r="AI184" s="200">
        <f t="shared" si="3088"/>
        <v>94.735209740913561</v>
      </c>
      <c r="AJ184" s="200">
        <f t="shared" si="3088"/>
        <v>96.099515180194899</v>
      </c>
      <c r="AK184" s="200">
        <f t="shared" si="3088"/>
        <v>97.483468323183672</v>
      </c>
      <c r="AL184" s="200">
        <f t="shared" si="3088"/>
        <v>98.887352121372928</v>
      </c>
      <c r="AM184" s="200">
        <f t="shared" si="3088"/>
        <v>100.31145360111086</v>
      </c>
      <c r="AN184" s="200">
        <f t="shared" si="3088"/>
        <v>101.75606392228386</v>
      </c>
      <c r="AO184" s="200">
        <f t="shared" si="3088"/>
        <v>103.22147843784465</v>
      </c>
      <c r="AP184" s="200">
        <f t="shared" si="3088"/>
        <v>0</v>
      </c>
      <c r="AQ184" s="200">
        <f t="shared" si="3088"/>
        <v>0</v>
      </c>
      <c r="AR184" s="200">
        <f t="shared" si="3088"/>
        <v>0</v>
      </c>
      <c r="AS184" s="200">
        <f t="shared" si="3088"/>
        <v>0</v>
      </c>
      <c r="AT184" s="200">
        <f t="shared" si="3088"/>
        <v>0</v>
      </c>
      <c r="AU184" s="200">
        <f t="shared" si="3088"/>
        <v>0</v>
      </c>
      <c r="AV184" s="200">
        <f t="shared" si="3088"/>
        <v>0</v>
      </c>
      <c r="AW184" s="200">
        <f t="shared" si="3088"/>
        <v>0</v>
      </c>
      <c r="AX184" s="200">
        <f t="shared" si="3088"/>
        <v>0</v>
      </c>
      <c r="AY184" s="200">
        <f t="shared" si="3088"/>
        <v>0</v>
      </c>
      <c r="AZ184" s="200">
        <f t="shared" si="3088"/>
        <v>0</v>
      </c>
      <c r="BA184" s="200">
        <f t="shared" si="3088"/>
        <v>0</v>
      </c>
      <c r="BB184" s="200">
        <f t="shared" si="3088"/>
        <v>0</v>
      </c>
      <c r="BC184" s="200">
        <f t="shared" si="3088"/>
        <v>0</v>
      </c>
      <c r="BD184" s="200">
        <f t="shared" si="3088"/>
        <v>0</v>
      </c>
      <c r="BE184" s="200">
        <f t="shared" si="3088"/>
        <v>0</v>
      </c>
      <c r="BF184" s="200">
        <f t="shared" si="3088"/>
        <v>0</v>
      </c>
      <c r="BG184" s="200">
        <f t="shared" si="3088"/>
        <v>0</v>
      </c>
      <c r="BH184" s="200">
        <f t="shared" si="3088"/>
        <v>0</v>
      </c>
      <c r="BI184" s="200">
        <f t="shared" si="3088"/>
        <v>0</v>
      </c>
      <c r="BJ184" s="200">
        <f t="shared" si="3088"/>
        <v>0</v>
      </c>
      <c r="BK184" s="200">
        <f t="shared" si="3088"/>
        <v>0</v>
      </c>
    </row>
    <row r="185" spans="1:63" ht="7.8" x14ac:dyDescent="0.15">
      <c r="A185" s="208" t="s">
        <v>203</v>
      </c>
      <c r="B185" s="192"/>
      <c r="C185" s="192"/>
      <c r="D185" s="192"/>
      <c r="E185" s="192"/>
      <c r="F185" s="192"/>
      <c r="G185" s="192"/>
      <c r="H185" s="192"/>
      <c r="I185" s="192"/>
      <c r="J185" s="192"/>
      <c r="K185" s="192"/>
      <c r="L185" s="192"/>
      <c r="M185" s="192"/>
      <c r="N185" s="192"/>
      <c r="O185" s="192"/>
      <c r="P185" s="192"/>
      <c r="Q185" s="192"/>
      <c r="R185" s="192"/>
      <c r="S185" s="192"/>
      <c r="T185" s="192"/>
      <c r="U185" s="192"/>
      <c r="V185" s="192"/>
      <c r="W185" s="224">
        <f>IF(W177-101&lt;&gt;LoanSaleHeld,0,SUM($D184:W184)*LoanSalePercent)</f>
        <v>0</v>
      </c>
      <c r="X185" s="225">
        <f>IF(X177-101&lt;&gt;LoanSaleHeld,0,SUM($D184:X184)*LoanSalePercent)</f>
        <v>0</v>
      </c>
      <c r="Y185" s="225">
        <f>IF(Y177-101&lt;&gt;LoanSaleHeld,0,SUM($D184:Y184)*LoanSalePercent)</f>
        <v>0</v>
      </c>
      <c r="Z185" s="225">
        <f>IF(Z177-101&lt;&gt;LoanSaleHeld,0,SUM($D184:Z184)*LoanSalePercent)</f>
        <v>217.43677648256681</v>
      </c>
      <c r="AA185" s="225">
        <f>IF(AA177-101&lt;&gt;LoanSaleHeld,0,SUM($D184:AA184)*LoanSalePercent)</f>
        <v>0</v>
      </c>
      <c r="AB185" s="225">
        <f>IF(AB177-101&lt;&gt;LoanSaleHeld,0,SUM($D184:AB184)*LoanSalePercent)</f>
        <v>0</v>
      </c>
      <c r="AC185" s="225">
        <f>IF(AC177-101&lt;&gt;LoanSaleHeld,0,SUM($D184:AC184)*LoanSalePercent)</f>
        <v>0</v>
      </c>
      <c r="AD185" s="225">
        <f>IF(AD177-101&lt;&gt;LoanSaleHeld,0,SUM($D184:AD184)*LoanSalePercent)</f>
        <v>0</v>
      </c>
      <c r="AE185" s="225">
        <f>IF(AE177-101&lt;&gt;LoanSaleHeld,0,SUM($D184:AE184)*LoanSalePercent)</f>
        <v>0</v>
      </c>
      <c r="AF185" s="225">
        <f>IF(AF177-101&lt;&gt;LoanSaleHeld,0,SUM($D184:AF184)*LoanSalePercent)</f>
        <v>0</v>
      </c>
      <c r="AG185" s="225">
        <f>IF(AG177-101&lt;&gt;LoanSaleHeld,0,SUM($D184:AG184)*LoanSalePercent)</f>
        <v>0</v>
      </c>
      <c r="AH185" s="225">
        <f>IF(AH177-101&lt;&gt;LoanSaleHeld,0,SUM($D184:AH184)*LoanSalePercent)</f>
        <v>0</v>
      </c>
      <c r="AI185" s="225">
        <f>IF(AI177-101&lt;&gt;LoanSaleHeld,0,SUM($D184:AI184)*LoanSalePercent)</f>
        <v>0</v>
      </c>
      <c r="AJ185" s="225">
        <f>IF(AJ177-101&lt;&gt;LoanSaleHeld,0,SUM($D184:AJ184)*LoanSalePercent)</f>
        <v>0</v>
      </c>
      <c r="AK185" s="225">
        <f>IF(AK177-101&lt;&gt;LoanSaleHeld,0,SUM($D184:AK184)*LoanSalePercent)</f>
        <v>0</v>
      </c>
      <c r="AL185" s="225">
        <f>IF(AL177-101&lt;&gt;LoanSaleHeld,0,SUM($D184:AL184)*LoanSalePercent)</f>
        <v>0</v>
      </c>
      <c r="AM185" s="225">
        <f>IF(AM177-101&lt;&gt;LoanSaleHeld,0,SUM($D184:AM184)*LoanSalePercent)</f>
        <v>0</v>
      </c>
      <c r="AN185" s="225">
        <f>IF(AN177-101&lt;&gt;LoanSaleHeld,0,SUM($D184:AN184)*LoanSalePercent)</f>
        <v>0</v>
      </c>
      <c r="AO185" s="225">
        <f>IF(AO177-101&lt;&gt;LoanSaleHeld,0,SUM($D184:AO184)*LoanSalePercent)</f>
        <v>0</v>
      </c>
      <c r="AP185" s="225">
        <f>IF(AP177-101&lt;&gt;LoanSaleHeld,0,SUM($D184:AP184)*LoanSalePercent)</f>
        <v>0</v>
      </c>
      <c r="AQ185" s="225">
        <f>IF(AQ177-101&lt;&gt;LoanSaleHeld,0,SUM($D184:AQ184)*LoanSalePercent)</f>
        <v>0</v>
      </c>
      <c r="AR185" s="225">
        <f>IF(AR177-101&lt;&gt;LoanSaleHeld,0,SUM($D184:AR184)*LoanSalePercent)</f>
        <v>0</v>
      </c>
      <c r="AS185" s="225">
        <f>IF(AS177-101&lt;&gt;LoanSaleHeld,0,SUM($D184:AS184)*LoanSalePercent)</f>
        <v>0</v>
      </c>
      <c r="AT185" s="225">
        <f>IF(AT177-101&lt;&gt;LoanSaleHeld,0,SUM($D184:AT184)*LoanSalePercent)</f>
        <v>0</v>
      </c>
      <c r="AU185" s="225">
        <f>IF(AU177-101&lt;&gt;LoanSaleHeld,0,SUM($D184:AU184)*LoanSalePercent)</f>
        <v>0</v>
      </c>
      <c r="AV185" s="225">
        <f>IF(AV177-101&lt;&gt;LoanSaleHeld,0,SUM($D184:AV184)*LoanSalePercent)</f>
        <v>0</v>
      </c>
      <c r="AW185" s="225">
        <f>IF(AW177-101&lt;&gt;LoanSaleHeld,0,SUM($D184:AW184)*LoanSalePercent)</f>
        <v>0</v>
      </c>
      <c r="AX185" s="225">
        <f>IF(AX177-101&lt;&gt;LoanSaleHeld,0,SUM($D184:AX184)*LoanSalePercent)</f>
        <v>0</v>
      </c>
      <c r="AY185" s="225">
        <f>IF(AY177-101&lt;&gt;LoanSaleHeld,0,SUM($D184:AY184)*LoanSalePercent)</f>
        <v>0</v>
      </c>
      <c r="AZ185" s="225">
        <f>IF(AZ177-101&lt;&gt;LoanSaleHeld,0,SUM($D184:AZ184)*LoanSalePercent)</f>
        <v>0</v>
      </c>
      <c r="BA185" s="225">
        <f>IF(BA177-101&lt;&gt;LoanSaleHeld,0,SUM($D184:BA184)*LoanSalePercent)</f>
        <v>0</v>
      </c>
      <c r="BB185" s="225">
        <f>IF(BB177-101&lt;&gt;LoanSaleHeld,0,SUM($D184:BB184)*LoanSalePercent)</f>
        <v>0</v>
      </c>
      <c r="BC185" s="225">
        <f>IF(BC177-101&lt;&gt;LoanSaleHeld,0,SUM($D184:BC184)*LoanSalePercent)</f>
        <v>0</v>
      </c>
      <c r="BD185" s="225">
        <f>IF(BD177-101&lt;&gt;LoanSaleHeld,0,SUM($D184:BD184)*LoanSalePercent)</f>
        <v>0</v>
      </c>
      <c r="BE185" s="225">
        <f>IF(BE177-101&lt;&gt;LoanSaleHeld,0,SUM($D184:BE184)*LoanSalePercent)</f>
        <v>0</v>
      </c>
      <c r="BF185" s="225">
        <f>IF(BF177-101&lt;&gt;LoanSaleHeld,0,SUM($D184:BF184)*LoanSalePercent)</f>
        <v>0</v>
      </c>
      <c r="BG185" s="225">
        <f>IF(BG177-101&lt;&gt;LoanSaleHeld,0,SUM($D184:BG184)*LoanSalePercent)</f>
        <v>0</v>
      </c>
      <c r="BH185" s="225">
        <f>IF(BH177-101&lt;&gt;LoanSaleHeld,0,SUM($D184:BH184)*LoanSalePercent)</f>
        <v>0</v>
      </c>
      <c r="BI185" s="225">
        <f>IF(BI177-101&lt;&gt;LoanSaleHeld,0,SUM($D184:BI184)*LoanSalePercent)</f>
        <v>0</v>
      </c>
      <c r="BJ185" s="225">
        <f>IF(BJ177-101&lt;&gt;LoanSaleHeld,0,SUM($D184:BJ184)*LoanSalePercent)</f>
        <v>0</v>
      </c>
      <c r="BK185" s="225">
        <f>IF(BK177-101&lt;&gt;LoanSaleHeld,0,SUM($D184:BK184)*LoanSalePercent)</f>
        <v>0</v>
      </c>
    </row>
    <row r="186" spans="1:63" ht="7.8" x14ac:dyDescent="0.15">
      <c r="A186" s="204">
        <f t="shared" ref="A186" si="3089">A177+1</f>
        <v>21</v>
      </c>
      <c r="B186" s="192"/>
      <c r="C186" s="192"/>
      <c r="D186" s="192"/>
      <c r="E186" s="192"/>
      <c r="F186" s="192"/>
      <c r="G186" s="192"/>
      <c r="H186" s="192"/>
      <c r="I186" s="192"/>
      <c r="J186" s="192"/>
      <c r="K186" s="192"/>
      <c r="L186" s="192"/>
      <c r="M186" s="192"/>
      <c r="N186" s="192"/>
      <c r="O186" s="192"/>
      <c r="P186" s="192"/>
      <c r="Q186" s="192"/>
      <c r="R186" s="192"/>
      <c r="S186" s="192"/>
      <c r="T186" s="192"/>
      <c r="U186" s="192"/>
      <c r="V186" s="192"/>
      <c r="W186" s="192"/>
      <c r="X186" s="195">
        <v>101</v>
      </c>
      <c r="Y186" s="196">
        <f t="shared" ref="Y186" si="3090">IF(Y187=0,0,X186+1)</f>
        <v>102</v>
      </c>
      <c r="Z186" s="196">
        <f t="shared" ref="Z186" si="3091">IF(Z187=0,0,Y186+1)</f>
        <v>103</v>
      </c>
      <c r="AA186" s="196">
        <f t="shared" ref="AA186" si="3092">IF(AA187=0,0,Z186+1)</f>
        <v>104</v>
      </c>
      <c r="AB186" s="196">
        <f t="shared" ref="AB186" si="3093">IF(AB187=0,0,AA186+1)</f>
        <v>105</v>
      </c>
      <c r="AC186" s="196">
        <f t="shared" ref="AC186" si="3094">IF(AC187=0,0,AB186+1)</f>
        <v>106</v>
      </c>
      <c r="AD186" s="196">
        <f t="shared" ref="AD186" si="3095">IF(AD187=0,0,AC186+1)</f>
        <v>107</v>
      </c>
      <c r="AE186" s="196">
        <f t="shared" ref="AE186" si="3096">IF(AE187=0,0,AD186+1)</f>
        <v>108</v>
      </c>
      <c r="AF186" s="196">
        <f t="shared" ref="AF186" si="3097">IF(AF187=0,0,AE186+1)</f>
        <v>109</v>
      </c>
      <c r="AG186" s="196">
        <f t="shared" ref="AG186" si="3098">IF(AG187=0,0,AF186+1)</f>
        <v>110</v>
      </c>
      <c r="AH186" s="196">
        <f t="shared" ref="AH186" si="3099">IF(AH187=0,0,AG186+1)</f>
        <v>111</v>
      </c>
      <c r="AI186" s="196">
        <f t="shared" ref="AI186" si="3100">IF(AI187=0,0,AH186+1)</f>
        <v>112</v>
      </c>
      <c r="AJ186" s="196">
        <f t="shared" ref="AJ186" si="3101">IF(AJ187=0,0,AI186+1)</f>
        <v>113</v>
      </c>
      <c r="AK186" s="196">
        <f t="shared" ref="AK186" si="3102">IF(AK187=0,0,AJ186+1)</f>
        <v>114</v>
      </c>
      <c r="AL186" s="196">
        <f t="shared" ref="AL186" si="3103">IF(AL187=0,0,AK186+1)</f>
        <v>115</v>
      </c>
      <c r="AM186" s="196">
        <f t="shared" ref="AM186" si="3104">IF(AM187=0,0,AL186+1)</f>
        <v>116</v>
      </c>
      <c r="AN186" s="196">
        <f t="shared" ref="AN186" si="3105">IF(AN187=0,0,AM186+1)</f>
        <v>117</v>
      </c>
      <c r="AO186" s="196">
        <f t="shared" ref="AO186" si="3106">IF(AO187=0,0,AN186+1)</f>
        <v>118</v>
      </c>
      <c r="AP186" s="196">
        <f t="shared" ref="AP186" si="3107">IF(AP187=0,0,AO186+1)</f>
        <v>119</v>
      </c>
      <c r="AQ186" s="196">
        <f t="shared" ref="AQ186" si="3108">IF(AQ187=0,0,AP186+1)</f>
        <v>0</v>
      </c>
      <c r="AR186" s="196">
        <f t="shared" ref="AR186" si="3109">IF(AR187=0,0,AQ186+1)</f>
        <v>0</v>
      </c>
      <c r="AS186" s="196">
        <f t="shared" ref="AS186" si="3110">IF(AS187=0,0,AR186+1)</f>
        <v>0</v>
      </c>
      <c r="AT186" s="196">
        <f t="shared" ref="AT186" si="3111">IF(AT187=0,0,AS186+1)</f>
        <v>0</v>
      </c>
      <c r="AU186" s="196">
        <f t="shared" ref="AU186" si="3112">IF(AU187=0,0,AT186+1)</f>
        <v>0</v>
      </c>
      <c r="AV186" s="196">
        <f t="shared" ref="AV186" si="3113">IF(AV187=0,0,AU186+1)</f>
        <v>0</v>
      </c>
      <c r="AW186" s="196">
        <f t="shared" ref="AW186" si="3114">IF(AW187=0,0,AV186+1)</f>
        <v>0</v>
      </c>
      <c r="AX186" s="196">
        <f t="shared" ref="AX186" si="3115">IF(AX187=0,0,AW186+1)</f>
        <v>0</v>
      </c>
      <c r="AY186" s="196">
        <f t="shared" ref="AY186" si="3116">IF(AY187=0,0,AX186+1)</f>
        <v>0</v>
      </c>
      <c r="AZ186" s="196">
        <f t="shared" ref="AZ186" si="3117">IF(AZ187=0,0,AY186+1)</f>
        <v>0</v>
      </c>
      <c r="BA186" s="196">
        <f t="shared" ref="BA186" si="3118">IF(BA187=0,0,AZ186+1)</f>
        <v>0</v>
      </c>
      <c r="BB186" s="196">
        <f t="shared" ref="BB186" si="3119">IF(BB187=0,0,BA186+1)</f>
        <v>0</v>
      </c>
      <c r="BC186" s="196">
        <f t="shared" ref="BC186" si="3120">IF(BC187=0,0,BB186+1)</f>
        <v>0</v>
      </c>
      <c r="BD186" s="196">
        <f t="shared" ref="BD186" si="3121">IF(BD187=0,0,BC186+1)</f>
        <v>0</v>
      </c>
      <c r="BE186" s="196">
        <f t="shared" ref="BE186" si="3122">IF(BE187=0,0,BD186+1)</f>
        <v>0</v>
      </c>
      <c r="BF186" s="196">
        <f t="shared" ref="BF186" si="3123">IF(BF187=0,0,BE186+1)</f>
        <v>0</v>
      </c>
      <c r="BG186" s="196">
        <f t="shared" ref="BG186" si="3124">IF(BG187=0,0,BF186+1)</f>
        <v>0</v>
      </c>
      <c r="BH186" s="196">
        <f t="shared" ref="BH186" si="3125">IF(BH187=0,0,BG186+1)</f>
        <v>0</v>
      </c>
      <c r="BI186" s="196">
        <f t="shared" ref="BI186" si="3126">IF(BI187=0,0,BH186+1)</f>
        <v>0</v>
      </c>
      <c r="BJ186" s="196">
        <f t="shared" ref="BJ186" si="3127">IF(BJ187=0,0,BI186+1)</f>
        <v>0</v>
      </c>
      <c r="BK186" s="196">
        <f t="shared" ref="BK186" si="3128">IF(BK187=0,0,BJ186+1)</f>
        <v>0</v>
      </c>
    </row>
    <row r="187" spans="1:63" ht="7.8" x14ac:dyDescent="0.15">
      <c r="A187" s="216" t="s">
        <v>178</v>
      </c>
      <c r="B187" s="192"/>
      <c r="C187" s="192"/>
      <c r="D187" s="192"/>
      <c r="E187" s="192"/>
      <c r="F187" s="192"/>
      <c r="G187" s="192"/>
      <c r="H187" s="192"/>
      <c r="I187" s="192"/>
      <c r="J187" s="192"/>
      <c r="K187" s="192"/>
      <c r="L187" s="192"/>
      <c r="M187" s="192"/>
      <c r="N187" s="192"/>
      <c r="O187" s="192"/>
      <c r="P187" s="192"/>
      <c r="Q187" s="192"/>
      <c r="R187" s="192"/>
      <c r="S187" s="192"/>
      <c r="T187" s="192"/>
      <c r="U187" s="192"/>
      <c r="V187" s="192"/>
      <c r="W187" s="192"/>
      <c r="X187" s="217">
        <f>LoanSize</f>
        <v>25</v>
      </c>
      <c r="Y187" s="215">
        <f>IF(X187-X190&lt;=0.1,0,X187-X190)</f>
        <v>23.79027212253634</v>
      </c>
      <c r="Z187" s="215">
        <f t="shared" ref="Z187:BK187" si="3129">IF(Y187-Y190&lt;=0.1,0,Y187-Y190)</f>
        <v>22.56189427362845</v>
      </c>
      <c r="AA187" s="215">
        <f t="shared" si="3129"/>
        <v>21.314578932883229</v>
      </c>
      <c r="AB187" s="215">
        <f t="shared" si="3129"/>
        <v>20.048034147301522</v>
      </c>
      <c r="AC187" s="215">
        <f t="shared" si="3129"/>
        <v>18.761963462942095</v>
      </c>
      <c r="AD187" s="215">
        <f t="shared" si="3129"/>
        <v>17.456065855532128</v>
      </c>
      <c r="AE187" s="215">
        <f t="shared" si="3129"/>
        <v>16.130035660007923</v>
      </c>
      <c r="AF187" s="215">
        <f t="shared" si="3129"/>
        <v>14.783562498969387</v>
      </c>
      <c r="AG187" s="215">
        <f t="shared" si="3129"/>
        <v>13.416331210031506</v>
      </c>
      <c r="AH187" s="215">
        <f t="shared" si="3129"/>
        <v>12.028021772055833</v>
      </c>
      <c r="AI187" s="215">
        <f t="shared" si="3129"/>
        <v>10.618309230244702</v>
      </c>
      <c r="AJ187" s="215">
        <f t="shared" si="3129"/>
        <v>9.1868636200806488</v>
      </c>
      <c r="AK187" s="215">
        <f t="shared" si="3129"/>
        <v>7.7333498900932334</v>
      </c>
      <c r="AL187" s="215">
        <f t="shared" si="3129"/>
        <v>6.2574278234351794</v>
      </c>
      <c r="AM187" s="215">
        <f t="shared" si="3129"/>
        <v>4.7587519582494799</v>
      </c>
      <c r="AN187" s="215">
        <f t="shared" si="3129"/>
        <v>3.2369715068088345</v>
      </c>
      <c r="AO187" s="215">
        <f t="shared" si="3129"/>
        <v>1.6917302734084789</v>
      </c>
      <c r="AP187" s="215">
        <f t="shared" si="3129"/>
        <v>0.12266657099320111</v>
      </c>
      <c r="AQ187" s="215">
        <f t="shared" si="3129"/>
        <v>0</v>
      </c>
      <c r="AR187" s="215">
        <f t="shared" si="3129"/>
        <v>0</v>
      </c>
      <c r="AS187" s="215">
        <f t="shared" si="3129"/>
        <v>0</v>
      </c>
      <c r="AT187" s="215">
        <f t="shared" si="3129"/>
        <v>0</v>
      </c>
      <c r="AU187" s="215">
        <f t="shared" si="3129"/>
        <v>0</v>
      </c>
      <c r="AV187" s="215">
        <f t="shared" si="3129"/>
        <v>0</v>
      </c>
      <c r="AW187" s="215">
        <f t="shared" si="3129"/>
        <v>0</v>
      </c>
      <c r="AX187" s="215">
        <f t="shared" si="3129"/>
        <v>0</v>
      </c>
      <c r="AY187" s="215">
        <f t="shared" si="3129"/>
        <v>0</v>
      </c>
      <c r="AZ187" s="215">
        <f t="shared" si="3129"/>
        <v>0</v>
      </c>
      <c r="BA187" s="215">
        <f t="shared" si="3129"/>
        <v>0</v>
      </c>
      <c r="BB187" s="215">
        <f t="shared" si="3129"/>
        <v>0</v>
      </c>
      <c r="BC187" s="215">
        <f t="shared" si="3129"/>
        <v>0</v>
      </c>
      <c r="BD187" s="215">
        <f t="shared" si="3129"/>
        <v>0</v>
      </c>
      <c r="BE187" s="215">
        <f t="shared" si="3129"/>
        <v>0</v>
      </c>
      <c r="BF187" s="215">
        <f t="shared" si="3129"/>
        <v>0</v>
      </c>
      <c r="BG187" s="215">
        <f t="shared" si="3129"/>
        <v>0</v>
      </c>
      <c r="BH187" s="215">
        <f t="shared" si="3129"/>
        <v>0</v>
      </c>
      <c r="BI187" s="215">
        <f t="shared" si="3129"/>
        <v>0</v>
      </c>
      <c r="BJ187" s="215">
        <f t="shared" si="3129"/>
        <v>0</v>
      </c>
      <c r="BK187" s="215">
        <f t="shared" si="3129"/>
        <v>0</v>
      </c>
    </row>
    <row r="188" spans="1:63" ht="7.8" x14ac:dyDescent="0.15">
      <c r="A188" s="218" t="s">
        <v>179</v>
      </c>
      <c r="B188" s="192"/>
      <c r="C188" s="192"/>
      <c r="D188" s="192"/>
      <c r="E188" s="192"/>
      <c r="F188" s="192"/>
      <c r="G188" s="192"/>
      <c r="H188" s="192"/>
      <c r="I188" s="192"/>
      <c r="J188" s="192"/>
      <c r="K188" s="192"/>
      <c r="L188" s="192"/>
      <c r="M188" s="192"/>
      <c r="N188" s="192"/>
      <c r="O188" s="192"/>
      <c r="P188" s="192"/>
      <c r="Q188" s="192"/>
      <c r="R188" s="192"/>
      <c r="S188" s="192"/>
      <c r="T188" s="192"/>
      <c r="U188" s="192"/>
      <c r="V188" s="192"/>
      <c r="W188" s="192"/>
      <c r="X188" s="219">
        <f>IF(X187=0,0,PMT(INDEX(LoanCohortRate,1),LoanTerm, -LoanSize))</f>
        <v>1.5951445441303251</v>
      </c>
      <c r="Y188" s="222">
        <f t="shared" ref="Y188" si="3130">IF(Y187=0,0, X188)</f>
        <v>1.5951445441303251</v>
      </c>
      <c r="Z188" s="222">
        <f t="shared" ref="Z188" si="3131">IF(Z187=0,0, Y188)</f>
        <v>1.5951445441303251</v>
      </c>
      <c r="AA188" s="222">
        <f t="shared" ref="AA188" si="3132">IF(AA187=0,0, Z188)</f>
        <v>1.5951445441303251</v>
      </c>
      <c r="AB188" s="222">
        <f t="shared" ref="AB188" si="3133">IF(AB187=0,0, AA188)</f>
        <v>1.5951445441303251</v>
      </c>
      <c r="AC188" s="222">
        <f t="shared" ref="AC188" si="3134">IF(AC187=0,0, AB188)</f>
        <v>1.5951445441303251</v>
      </c>
      <c r="AD188" s="222">
        <f t="shared" ref="AD188" si="3135">IF(AD187=0,0, AC188)</f>
        <v>1.5951445441303251</v>
      </c>
      <c r="AE188" s="222">
        <f t="shared" ref="AE188" si="3136">IF(AE187=0,0, AD188)</f>
        <v>1.5951445441303251</v>
      </c>
      <c r="AF188" s="222">
        <f t="shared" ref="AF188" si="3137">IF(AF187=0,0, AE188)</f>
        <v>1.5951445441303251</v>
      </c>
      <c r="AG188" s="222">
        <f t="shared" ref="AG188" si="3138">IF(AG187=0,0, AF188)</f>
        <v>1.5951445441303251</v>
      </c>
      <c r="AH188" s="222">
        <f t="shared" ref="AH188" si="3139">IF(AH187=0,0, AG188)</f>
        <v>1.5951445441303251</v>
      </c>
      <c r="AI188" s="222">
        <f t="shared" ref="AI188" si="3140">IF(AI187=0,0, AH188)</f>
        <v>1.5951445441303251</v>
      </c>
      <c r="AJ188" s="222">
        <f t="shared" ref="AJ188" si="3141">IF(AJ187=0,0, AI188)</f>
        <v>1.5951445441303251</v>
      </c>
      <c r="AK188" s="222">
        <f t="shared" ref="AK188" si="3142">IF(AK187=0,0, AJ188)</f>
        <v>1.5951445441303251</v>
      </c>
      <c r="AL188" s="222">
        <f t="shared" ref="AL188" si="3143">IF(AL187=0,0, AK188)</f>
        <v>1.5951445441303251</v>
      </c>
      <c r="AM188" s="222">
        <f t="shared" ref="AM188" si="3144">IF(AM187=0,0, AL188)</f>
        <v>1.5951445441303251</v>
      </c>
      <c r="AN188" s="222">
        <f t="shared" ref="AN188" si="3145">IF(AN187=0,0, AM188)</f>
        <v>1.5951445441303251</v>
      </c>
      <c r="AO188" s="222">
        <f t="shared" ref="AO188" si="3146">IF(AO187=0,0, AN188)</f>
        <v>1.5951445441303251</v>
      </c>
      <c r="AP188" s="222">
        <f t="shared" ref="AP188" si="3147">IF(AP187=0,0, AO188)</f>
        <v>1.5951445441303251</v>
      </c>
      <c r="AQ188" s="222">
        <f t="shared" ref="AQ188" si="3148">IF(AQ187=0,0, AP188)</f>
        <v>0</v>
      </c>
      <c r="AR188" s="222">
        <f t="shared" ref="AR188" si="3149">IF(AR187=0,0, AQ188)</f>
        <v>0</v>
      </c>
      <c r="AS188" s="222">
        <f t="shared" ref="AS188" si="3150">IF(AS187=0,0, AR188)</f>
        <v>0</v>
      </c>
      <c r="AT188" s="222">
        <f t="shared" ref="AT188" si="3151">IF(AT187=0,0, AS188)</f>
        <v>0</v>
      </c>
      <c r="AU188" s="222">
        <f t="shared" ref="AU188" si="3152">IF(AU187=0,0, AT188)</f>
        <v>0</v>
      </c>
      <c r="AV188" s="222">
        <f t="shared" ref="AV188" si="3153">IF(AV187=0,0, AU188)</f>
        <v>0</v>
      </c>
      <c r="AW188" s="222">
        <f t="shared" ref="AW188" si="3154">IF(AW187=0,0, AV188)</f>
        <v>0</v>
      </c>
      <c r="AX188" s="222">
        <f t="shared" ref="AX188" si="3155">IF(AX187=0,0, AW188)</f>
        <v>0</v>
      </c>
      <c r="AY188" s="222">
        <f t="shared" ref="AY188" si="3156">IF(AY187=0,0, AX188)</f>
        <v>0</v>
      </c>
      <c r="AZ188" s="222">
        <f t="shared" ref="AZ188" si="3157">IF(AZ187=0,0, AY188)</f>
        <v>0</v>
      </c>
      <c r="BA188" s="222">
        <f t="shared" ref="BA188" si="3158">IF(BA187=0,0, AZ188)</f>
        <v>0</v>
      </c>
      <c r="BB188" s="222">
        <f t="shared" ref="BB188" si="3159">IF(BB187=0,0, BA188)</f>
        <v>0</v>
      </c>
      <c r="BC188" s="222">
        <f t="shared" ref="BC188" si="3160">IF(BC187=0,0, BB188)</f>
        <v>0</v>
      </c>
      <c r="BD188" s="222">
        <f t="shared" ref="BD188" si="3161">IF(BD187=0,0, BC188)</f>
        <v>0</v>
      </c>
      <c r="BE188" s="222">
        <f t="shared" ref="BE188" si="3162">IF(BE187=0,0, BD188)</f>
        <v>0</v>
      </c>
      <c r="BF188" s="222">
        <f t="shared" ref="BF188" si="3163">IF(BF187=0,0, BE188)</f>
        <v>0</v>
      </c>
      <c r="BG188" s="222">
        <f t="shared" ref="BG188" si="3164">IF(BG187=0,0, BF188)</f>
        <v>0</v>
      </c>
      <c r="BH188" s="222">
        <f t="shared" ref="BH188" si="3165">IF(BH187=0,0, BG188)</f>
        <v>0</v>
      </c>
      <c r="BI188" s="222">
        <f t="shared" ref="BI188" si="3166">IF(BI187=0,0, BH188)</f>
        <v>0</v>
      </c>
      <c r="BJ188" s="222">
        <f t="shared" ref="BJ188" si="3167">IF(BJ187=0,0, BI188)</f>
        <v>0</v>
      </c>
      <c r="BK188" s="222">
        <f t="shared" ref="BK188" si="3168">IF(BK187=0,0, BJ188)</f>
        <v>0</v>
      </c>
    </row>
    <row r="189" spans="1:63" ht="7.8" x14ac:dyDescent="0.15">
      <c r="A189" s="218" t="s">
        <v>180</v>
      </c>
      <c r="B189" s="192"/>
      <c r="C189" s="192"/>
      <c r="D189" s="192"/>
      <c r="E189" s="192"/>
      <c r="F189" s="192"/>
      <c r="G189" s="192"/>
      <c r="H189" s="192"/>
      <c r="I189" s="192"/>
      <c r="J189" s="192"/>
      <c r="K189" s="192"/>
      <c r="L189" s="192"/>
      <c r="M189" s="192"/>
      <c r="N189" s="192"/>
      <c r="O189" s="192"/>
      <c r="P189" s="192"/>
      <c r="Q189" s="192"/>
      <c r="R189" s="192"/>
      <c r="S189" s="192"/>
      <c r="T189" s="192"/>
      <c r="U189" s="192"/>
      <c r="V189" s="192"/>
      <c r="W189" s="192"/>
      <c r="X189" s="220" cm="1">
        <f t="array" ref="X189">X187*INDEX(LoanCohortRate,$A186)</f>
        <v>0.38541666666666669</v>
      </c>
      <c r="Y189" s="221" cm="1">
        <f t="array" ref="Y189">Y187*INDEX(LoanCohortRate,$A186)</f>
        <v>0.36676669522243527</v>
      </c>
      <c r="Z189" s="221" cm="1">
        <f t="array" ref="Z189">Z187*INDEX(LoanCohortRate,$A186)</f>
        <v>0.34782920338510526</v>
      </c>
      <c r="AA189" s="221" cm="1">
        <f t="array" ref="AA189">AA187*INDEX(LoanCohortRate,$A186)</f>
        <v>0.32859975854861645</v>
      </c>
      <c r="AB189" s="221" cm="1">
        <f t="array" ref="AB189">AB187*INDEX(LoanCohortRate,$A186)</f>
        <v>0.30907385977089846</v>
      </c>
      <c r="AC189" s="221" cm="1">
        <f t="array" ref="AC189">AC187*INDEX(LoanCohortRate,$A186)</f>
        <v>0.28924693672035728</v>
      </c>
      <c r="AD189" s="221" cm="1">
        <f t="array" ref="AD189">AD187*INDEX(LoanCohortRate,$A186)</f>
        <v>0.26911434860612032</v>
      </c>
      <c r="AE189" s="221" cm="1">
        <f t="array" ref="AE189">AE187*INDEX(LoanCohortRate,$A186)</f>
        <v>0.24867138309178882</v>
      </c>
      <c r="AF189" s="221" cm="1">
        <f t="array" ref="AF189">AF187*INDEX(LoanCohortRate,$A186)</f>
        <v>0.22791325519244471</v>
      </c>
      <c r="AG189" s="221" cm="1">
        <f t="array" ref="AG189">AG187*INDEX(LoanCohortRate,$A186)</f>
        <v>0.20683510615465239</v>
      </c>
      <c r="AH189" s="221" cm="1">
        <f t="array" ref="AH189">AH187*INDEX(LoanCohortRate,$A186)</f>
        <v>0.1854320023191941</v>
      </c>
      <c r="AI189" s="221" cm="1">
        <f t="array" ref="AI189">AI187*INDEX(LoanCohortRate,$A186)</f>
        <v>0.1636989339662725</v>
      </c>
      <c r="AJ189" s="221" cm="1">
        <f t="array" ref="AJ189">AJ187*INDEX(LoanCohortRate,$A186)</f>
        <v>0.14163081414291001</v>
      </c>
      <c r="AK189" s="221" cm="1">
        <f t="array" ref="AK189">AK187*INDEX(LoanCohortRate,$A186)</f>
        <v>0.11922247747227069</v>
      </c>
      <c r="AL189" s="221" cm="1">
        <f t="array" ref="AL189">AL187*INDEX(LoanCohortRate,$A186)</f>
        <v>9.6468678944625685E-2</v>
      </c>
      <c r="AM189" s="221" cm="1">
        <f t="array" ref="AM189">AM187*INDEX(LoanCohortRate,$A186)</f>
        <v>7.3364092689679486E-2</v>
      </c>
      <c r="AN189" s="221" cm="1">
        <f t="array" ref="AN189">AN187*INDEX(LoanCohortRate,$A186)</f>
        <v>4.9903310729969536E-2</v>
      </c>
      <c r="AO189" s="221" cm="1">
        <f t="array" ref="AO189">AO187*INDEX(LoanCohortRate,$A186)</f>
        <v>2.6080841715047383E-2</v>
      </c>
      <c r="AP189" s="221" cm="1">
        <f t="array" ref="AP189">AP187*INDEX(LoanCohortRate,$A186)</f>
        <v>1.8911096361451838E-3</v>
      </c>
      <c r="AQ189" s="221" cm="1">
        <f t="array" ref="AQ189">AQ187*INDEX(LoanCohortRate,$A186)</f>
        <v>0</v>
      </c>
      <c r="AR189" s="221" cm="1">
        <f t="array" ref="AR189">AR187*INDEX(LoanCohortRate,$A186)</f>
        <v>0</v>
      </c>
      <c r="AS189" s="221" cm="1">
        <f t="array" ref="AS189">AS187*INDEX(LoanCohortRate,$A186)</f>
        <v>0</v>
      </c>
      <c r="AT189" s="221" cm="1">
        <f t="array" ref="AT189">AT187*INDEX(LoanCohortRate,$A186)</f>
        <v>0</v>
      </c>
      <c r="AU189" s="221" cm="1">
        <f t="array" ref="AU189">AU187*INDEX(LoanCohortRate,$A186)</f>
        <v>0</v>
      </c>
      <c r="AV189" s="221" cm="1">
        <f t="array" ref="AV189">AV187*INDEX(LoanCohortRate,$A186)</f>
        <v>0</v>
      </c>
      <c r="AW189" s="221" cm="1">
        <f t="array" ref="AW189">AW187*INDEX(LoanCohortRate,$A186)</f>
        <v>0</v>
      </c>
      <c r="AX189" s="221" cm="1">
        <f t="array" ref="AX189">AX187*INDEX(LoanCohortRate,$A186)</f>
        <v>0</v>
      </c>
      <c r="AY189" s="221" cm="1">
        <f t="array" ref="AY189">AY187*INDEX(LoanCohortRate,$A186)</f>
        <v>0</v>
      </c>
      <c r="AZ189" s="221" cm="1">
        <f t="array" ref="AZ189">AZ187*INDEX(LoanCohortRate,$A186)</f>
        <v>0</v>
      </c>
      <c r="BA189" s="221" cm="1">
        <f t="array" ref="BA189">BA187*INDEX(LoanCohortRate,$A186)</f>
        <v>0</v>
      </c>
      <c r="BB189" s="221" cm="1">
        <f t="array" ref="BB189">BB187*INDEX(LoanCohortRate,$A186)</f>
        <v>0</v>
      </c>
      <c r="BC189" s="221" cm="1">
        <f t="array" ref="BC189">BC187*INDEX(LoanCohortRate,$A186)</f>
        <v>0</v>
      </c>
      <c r="BD189" s="221" cm="1">
        <f t="array" ref="BD189">BD187*INDEX(LoanCohortRate,$A186)</f>
        <v>0</v>
      </c>
      <c r="BE189" s="221" cm="1">
        <f t="array" ref="BE189">BE187*INDEX(LoanCohortRate,$A186)</f>
        <v>0</v>
      </c>
      <c r="BF189" s="221" cm="1">
        <f t="array" ref="BF189">BF187*INDEX(LoanCohortRate,$A186)</f>
        <v>0</v>
      </c>
      <c r="BG189" s="221" cm="1">
        <f t="array" ref="BG189">BG187*INDEX(LoanCohortRate,$A186)</f>
        <v>0</v>
      </c>
      <c r="BH189" s="221" cm="1">
        <f t="array" ref="BH189">BH187*INDEX(LoanCohortRate,$A186)</f>
        <v>0</v>
      </c>
      <c r="BI189" s="221" cm="1">
        <f t="array" ref="BI189">BI187*INDEX(LoanCohortRate,$A186)</f>
        <v>0</v>
      </c>
      <c r="BJ189" s="221" cm="1">
        <f t="array" ref="BJ189">BJ187*INDEX(LoanCohortRate,$A186)</f>
        <v>0</v>
      </c>
      <c r="BK189" s="221" cm="1">
        <f t="array" ref="BK189">BK187*INDEX(LoanCohortRate,$A186)</f>
        <v>0</v>
      </c>
    </row>
    <row r="190" spans="1:63" ht="7.8" x14ac:dyDescent="0.15">
      <c r="A190" s="218" t="s">
        <v>177</v>
      </c>
      <c r="B190" s="192"/>
      <c r="C190" s="192"/>
      <c r="D190" s="192"/>
      <c r="E190" s="192"/>
      <c r="F190" s="192"/>
      <c r="G190" s="192"/>
      <c r="H190" s="192"/>
      <c r="I190" s="192"/>
      <c r="J190" s="192"/>
      <c r="K190" s="192"/>
      <c r="L190" s="192"/>
      <c r="M190" s="192"/>
      <c r="N190" s="192"/>
      <c r="O190" s="192"/>
      <c r="P190" s="192"/>
      <c r="Q190" s="192"/>
      <c r="R190" s="192"/>
      <c r="S190" s="192"/>
      <c r="T190" s="192"/>
      <c r="U190" s="192"/>
      <c r="V190" s="192"/>
      <c r="W190" s="192"/>
      <c r="X190" s="219">
        <f>X188-X189</f>
        <v>1.2097278774636584</v>
      </c>
      <c r="Y190" s="222">
        <f t="shared" ref="Y190:BK190" si="3169">Y188-Y189</f>
        <v>1.2283778489078898</v>
      </c>
      <c r="Z190" s="222">
        <f t="shared" si="3169"/>
        <v>1.24731534074522</v>
      </c>
      <c r="AA190" s="222">
        <f t="shared" si="3169"/>
        <v>1.2665447855817087</v>
      </c>
      <c r="AB190" s="222">
        <f t="shared" si="3169"/>
        <v>1.2860706843594267</v>
      </c>
      <c r="AC190" s="222">
        <f t="shared" si="3169"/>
        <v>1.305897607409968</v>
      </c>
      <c r="AD190" s="222">
        <f t="shared" si="3169"/>
        <v>1.3260301955242049</v>
      </c>
      <c r="AE190" s="222">
        <f t="shared" si="3169"/>
        <v>1.3464731610385363</v>
      </c>
      <c r="AF190" s="222">
        <f t="shared" si="3169"/>
        <v>1.3672312889378804</v>
      </c>
      <c r="AG190" s="222">
        <f t="shared" si="3169"/>
        <v>1.3883094379756726</v>
      </c>
      <c r="AH190" s="222">
        <f t="shared" si="3169"/>
        <v>1.4097125418111309</v>
      </c>
      <c r="AI190" s="222">
        <f t="shared" si="3169"/>
        <v>1.4314456101640527</v>
      </c>
      <c r="AJ190" s="222">
        <f t="shared" si="3169"/>
        <v>1.453513729987415</v>
      </c>
      <c r="AK190" s="222">
        <f t="shared" si="3169"/>
        <v>1.4759220666580544</v>
      </c>
      <c r="AL190" s="222">
        <f t="shared" si="3169"/>
        <v>1.4986758651856995</v>
      </c>
      <c r="AM190" s="222">
        <f t="shared" si="3169"/>
        <v>1.5217804514406457</v>
      </c>
      <c r="AN190" s="222">
        <f t="shared" si="3169"/>
        <v>1.5452412334003556</v>
      </c>
      <c r="AO190" s="222">
        <f t="shared" si="3169"/>
        <v>1.5690637024152778</v>
      </c>
      <c r="AP190" s="222">
        <f t="shared" si="3169"/>
        <v>1.59325343449418</v>
      </c>
      <c r="AQ190" s="222">
        <f t="shared" si="3169"/>
        <v>0</v>
      </c>
      <c r="AR190" s="222">
        <f t="shared" si="3169"/>
        <v>0</v>
      </c>
      <c r="AS190" s="222">
        <f t="shared" si="3169"/>
        <v>0</v>
      </c>
      <c r="AT190" s="222">
        <f t="shared" si="3169"/>
        <v>0</v>
      </c>
      <c r="AU190" s="222">
        <f t="shared" si="3169"/>
        <v>0</v>
      </c>
      <c r="AV190" s="222">
        <f t="shared" si="3169"/>
        <v>0</v>
      </c>
      <c r="AW190" s="222">
        <f t="shared" si="3169"/>
        <v>0</v>
      </c>
      <c r="AX190" s="222">
        <f t="shared" si="3169"/>
        <v>0</v>
      </c>
      <c r="AY190" s="222">
        <f t="shared" si="3169"/>
        <v>0</v>
      </c>
      <c r="AZ190" s="222">
        <f t="shared" si="3169"/>
        <v>0</v>
      </c>
      <c r="BA190" s="222">
        <f t="shared" si="3169"/>
        <v>0</v>
      </c>
      <c r="BB190" s="222">
        <f t="shared" si="3169"/>
        <v>0</v>
      </c>
      <c r="BC190" s="222">
        <f t="shared" si="3169"/>
        <v>0</v>
      </c>
      <c r="BD190" s="222">
        <f t="shared" si="3169"/>
        <v>0</v>
      </c>
      <c r="BE190" s="222">
        <f t="shared" si="3169"/>
        <v>0</v>
      </c>
      <c r="BF190" s="222">
        <f t="shared" si="3169"/>
        <v>0</v>
      </c>
      <c r="BG190" s="222">
        <f t="shared" si="3169"/>
        <v>0</v>
      </c>
      <c r="BH190" s="222">
        <f t="shared" si="3169"/>
        <v>0</v>
      </c>
      <c r="BI190" s="222">
        <f t="shared" si="3169"/>
        <v>0</v>
      </c>
      <c r="BJ190" s="222">
        <f t="shared" si="3169"/>
        <v>0</v>
      </c>
      <c r="BK190" s="222">
        <f t="shared" si="3169"/>
        <v>0</v>
      </c>
    </row>
    <row r="191" spans="1:63" ht="7.8" x14ac:dyDescent="0.15">
      <c r="A191" s="205" t="s">
        <v>7</v>
      </c>
      <c r="B191" s="192"/>
      <c r="C191" s="192"/>
      <c r="D191" s="192"/>
      <c r="E191" s="192"/>
      <c r="F191" s="192"/>
      <c r="G191" s="192"/>
      <c r="H191" s="192"/>
      <c r="I191" s="192"/>
      <c r="J191" s="192"/>
      <c r="K191" s="192"/>
      <c r="L191" s="192"/>
      <c r="M191" s="192"/>
      <c r="N191" s="192"/>
      <c r="O191" s="192"/>
      <c r="P191" s="192"/>
      <c r="Q191" s="192"/>
      <c r="R191" s="192"/>
      <c r="S191" s="192"/>
      <c r="T191" s="192"/>
      <c r="U191" s="192"/>
      <c r="V191" s="192"/>
      <c r="W191" s="192"/>
      <c r="X191" s="214" cm="1">
        <f t="array" ref="X191">INDEX(LoanOriginations,$A186)</f>
        <v>110.4895577186728</v>
      </c>
      <c r="Y191" s="199">
        <f t="shared" ref="Y191:BK191" si="3170">X191*(1-MitigateDelinquency*MitigateChargeoff)  *  IF(Y186=0,0,IF(Y186-102=LoanSaleHeld,0.6,1))</f>
        <v>110.37906816095412</v>
      </c>
      <c r="Z191" s="199">
        <f t="shared" si="3170"/>
        <v>110.26868909279317</v>
      </c>
      <c r="AA191" s="199">
        <f t="shared" si="3170"/>
        <v>110.15842040370038</v>
      </c>
      <c r="AB191" s="199">
        <f t="shared" si="3170"/>
        <v>66.028957189978001</v>
      </c>
      <c r="AC191" s="199">
        <f t="shared" si="3170"/>
        <v>65.96292823278803</v>
      </c>
      <c r="AD191" s="199">
        <f t="shared" si="3170"/>
        <v>65.896965304555238</v>
      </c>
      <c r="AE191" s="199">
        <f t="shared" si="3170"/>
        <v>65.831068339250677</v>
      </c>
      <c r="AF191" s="199">
        <f t="shared" si="3170"/>
        <v>65.765237270911427</v>
      </c>
      <c r="AG191" s="199">
        <f t="shared" si="3170"/>
        <v>65.699472033640518</v>
      </c>
      <c r="AH191" s="199">
        <f t="shared" si="3170"/>
        <v>65.633772561606875</v>
      </c>
      <c r="AI191" s="199">
        <f t="shared" si="3170"/>
        <v>65.568138789045264</v>
      </c>
      <c r="AJ191" s="199">
        <f t="shared" si="3170"/>
        <v>65.502570650256217</v>
      </c>
      <c r="AK191" s="199">
        <f t="shared" si="3170"/>
        <v>65.437068079605964</v>
      </c>
      <c r="AL191" s="199">
        <f t="shared" si="3170"/>
        <v>65.371631011526361</v>
      </c>
      <c r="AM191" s="199">
        <f t="shared" si="3170"/>
        <v>65.306259380514831</v>
      </c>
      <c r="AN191" s="199">
        <f t="shared" si="3170"/>
        <v>65.240953121134311</v>
      </c>
      <c r="AO191" s="199">
        <f t="shared" si="3170"/>
        <v>65.175712168013177</v>
      </c>
      <c r="AP191" s="199">
        <f t="shared" si="3170"/>
        <v>65.110536455845164</v>
      </c>
      <c r="AQ191" s="199">
        <f t="shared" si="3170"/>
        <v>0</v>
      </c>
      <c r="AR191" s="199">
        <f t="shared" si="3170"/>
        <v>0</v>
      </c>
      <c r="AS191" s="199">
        <f t="shared" si="3170"/>
        <v>0</v>
      </c>
      <c r="AT191" s="199">
        <f t="shared" si="3170"/>
        <v>0</v>
      </c>
      <c r="AU191" s="199">
        <f t="shared" si="3170"/>
        <v>0</v>
      </c>
      <c r="AV191" s="199">
        <f t="shared" si="3170"/>
        <v>0</v>
      </c>
      <c r="AW191" s="199">
        <f t="shared" si="3170"/>
        <v>0</v>
      </c>
      <c r="AX191" s="199">
        <f t="shared" si="3170"/>
        <v>0</v>
      </c>
      <c r="AY191" s="199">
        <f t="shared" si="3170"/>
        <v>0</v>
      </c>
      <c r="AZ191" s="199">
        <f t="shared" si="3170"/>
        <v>0</v>
      </c>
      <c r="BA191" s="199">
        <f t="shared" si="3170"/>
        <v>0</v>
      </c>
      <c r="BB191" s="199">
        <f t="shared" si="3170"/>
        <v>0</v>
      </c>
      <c r="BC191" s="199">
        <f t="shared" si="3170"/>
        <v>0</v>
      </c>
      <c r="BD191" s="199">
        <f t="shared" si="3170"/>
        <v>0</v>
      </c>
      <c r="BE191" s="199">
        <f t="shared" si="3170"/>
        <v>0</v>
      </c>
      <c r="BF191" s="199">
        <f t="shared" si="3170"/>
        <v>0</v>
      </c>
      <c r="BG191" s="199">
        <f t="shared" si="3170"/>
        <v>0</v>
      </c>
      <c r="BH191" s="199">
        <f t="shared" si="3170"/>
        <v>0</v>
      </c>
      <c r="BI191" s="199">
        <f t="shared" si="3170"/>
        <v>0</v>
      </c>
      <c r="BJ191" s="199">
        <f t="shared" si="3170"/>
        <v>0</v>
      </c>
      <c r="BK191" s="199">
        <f t="shared" si="3170"/>
        <v>0</v>
      </c>
    </row>
    <row r="192" spans="1:63" ht="7.8" x14ac:dyDescent="0.15">
      <c r="A192" s="207" t="s">
        <v>96</v>
      </c>
      <c r="B192" s="192"/>
      <c r="C192" s="192"/>
      <c r="D192" s="192"/>
      <c r="E192" s="192"/>
      <c r="F192" s="192"/>
      <c r="G192" s="192"/>
      <c r="H192" s="192"/>
      <c r="I192" s="192"/>
      <c r="J192" s="192"/>
      <c r="K192" s="192"/>
      <c r="L192" s="192"/>
      <c r="M192" s="192"/>
      <c r="N192" s="192"/>
      <c r="O192" s="192"/>
      <c r="P192" s="192"/>
      <c r="Q192" s="192"/>
      <c r="R192" s="192"/>
      <c r="S192" s="192"/>
      <c r="T192" s="192"/>
      <c r="U192" s="192"/>
      <c r="V192" s="192"/>
      <c r="W192" s="192"/>
      <c r="X192" s="223">
        <f>X189*X191</f>
        <v>42.584517037405142</v>
      </c>
      <c r="Y192" s="200">
        <f t="shared" ref="Y192" si="3171">Y189*Y191</f>
        <v>40.483366051125067</v>
      </c>
      <c r="Z192" s="200">
        <f t="shared" ref="Z192" si="3172">Z189*Z191</f>
        <v>38.354670285466092</v>
      </c>
      <c r="AA192" s="200">
        <f t="shared" ref="AA192" si="3173">AA189*AA191</f>
        <v>36.19803034675293</v>
      </c>
      <c r="AB192" s="200">
        <f t="shared" ref="AB192" si="3174">AB189*AB191</f>
        <v>20.40782465535392</v>
      </c>
      <c r="AC192" s="200">
        <f t="shared" ref="AC192" si="3175">AC189*AC191</f>
        <v>19.07957492843871</v>
      </c>
      <c r="AD192" s="200">
        <f t="shared" ref="AD192" si="3176">AD189*AD191</f>
        <v>17.733818893055496</v>
      </c>
      <c r="AE192" s="200">
        <f t="shared" ref="AE192" si="3177">AE189*AE191</f>
        <v>16.370302814331534</v>
      </c>
      <c r="AF192" s="200">
        <f t="shared" ref="AF192" si="3178">AF189*AF191</f>
        <v>14.988769304916913</v>
      </c>
      <c r="AG192" s="200">
        <f t="shared" ref="AG192" si="3179">AG189*AG191</f>
        <v>13.588957272382652</v>
      </c>
      <c r="AH192" s="200">
        <f t="shared" ref="AH192" si="3180">AH189*AH191</f>
        <v>12.170601865861345</v>
      </c>
      <c r="AI192" s="200">
        <f t="shared" ref="AI192" si="3181">AI189*AI191</f>
        <v>10.733434421919311</v>
      </c>
      <c r="AJ192" s="200">
        <f t="shared" ref="AJ192" si="3182">AJ189*AJ191</f>
        <v>9.2771824096492708</v>
      </c>
      <c r="AK192" s="200">
        <f t="shared" ref="AK192" si="3183">AK189*AK191</f>
        <v>7.8015693749722654</v>
      </c>
      <c r="AL192" s="200">
        <f t="shared" ref="AL192" si="3184">AL189*AL191</f>
        <v>6.306314884137473</v>
      </c>
      <c r="AM192" s="200">
        <f t="shared" ref="AM192" si="3185">AM189*AM191</f>
        <v>4.7911344664083408</v>
      </c>
      <c r="AN192" s="200">
        <f t="shared" ref="AN192" si="3186">AN189*AN191</f>
        <v>3.2557395559233413</v>
      </c>
      <c r="AO192" s="200">
        <f t="shared" ref="AO192" si="3187">AO189*AO191</f>
        <v>1.6998374327194394</v>
      </c>
      <c r="AP192" s="200">
        <f t="shared" ref="AP192" si="3188">AP189*AP191</f>
        <v>0.12313116290623108</v>
      </c>
      <c r="AQ192" s="200">
        <f t="shared" ref="AQ192" si="3189">AQ189*AQ191</f>
        <v>0</v>
      </c>
      <c r="AR192" s="200">
        <f t="shared" ref="AR192" si="3190">AR189*AR191</f>
        <v>0</v>
      </c>
      <c r="AS192" s="200">
        <f t="shared" ref="AS192" si="3191">AS189*AS191</f>
        <v>0</v>
      </c>
      <c r="AT192" s="200">
        <f t="shared" ref="AT192" si="3192">AT189*AT191</f>
        <v>0</v>
      </c>
      <c r="AU192" s="200">
        <f t="shared" ref="AU192" si="3193">AU189*AU191</f>
        <v>0</v>
      </c>
      <c r="AV192" s="200">
        <f t="shared" ref="AV192" si="3194">AV189*AV191</f>
        <v>0</v>
      </c>
      <c r="AW192" s="200">
        <f t="shared" ref="AW192" si="3195">AW189*AW191</f>
        <v>0</v>
      </c>
      <c r="AX192" s="200">
        <f t="shared" ref="AX192" si="3196">AX189*AX191</f>
        <v>0</v>
      </c>
      <c r="AY192" s="200">
        <f t="shared" ref="AY192" si="3197">AY189*AY191</f>
        <v>0</v>
      </c>
      <c r="AZ192" s="200">
        <f t="shared" ref="AZ192" si="3198">AZ189*AZ191</f>
        <v>0</v>
      </c>
      <c r="BA192" s="200">
        <f t="shared" ref="BA192" si="3199">BA189*BA191</f>
        <v>0</v>
      </c>
      <c r="BB192" s="200">
        <f t="shared" ref="BB192" si="3200">BB189*BB191</f>
        <v>0</v>
      </c>
      <c r="BC192" s="200">
        <f t="shared" ref="BC192" si="3201">BC189*BC191</f>
        <v>0</v>
      </c>
      <c r="BD192" s="200">
        <f t="shared" ref="BD192" si="3202">BD189*BD191</f>
        <v>0</v>
      </c>
      <c r="BE192" s="200">
        <f t="shared" ref="BE192" si="3203">BE189*BE191</f>
        <v>0</v>
      </c>
      <c r="BF192" s="200">
        <f t="shared" ref="BF192" si="3204">BF189*BF191</f>
        <v>0</v>
      </c>
      <c r="BG192" s="200">
        <f t="shared" ref="BG192" si="3205">BG189*BG191</f>
        <v>0</v>
      </c>
      <c r="BH192" s="200">
        <f t="shared" ref="BH192" si="3206">BH189*BH191</f>
        <v>0</v>
      </c>
      <c r="BI192" s="200">
        <f t="shared" ref="BI192" si="3207">BI189*BI191</f>
        <v>0</v>
      </c>
      <c r="BJ192" s="200">
        <f t="shared" ref="BJ192" si="3208">BJ189*BJ191</f>
        <v>0</v>
      </c>
      <c r="BK192" s="200">
        <f t="shared" ref="BK192" si="3209">BK189*BK191</f>
        <v>0</v>
      </c>
    </row>
    <row r="193" spans="1:63" ht="7.8" x14ac:dyDescent="0.15">
      <c r="A193" s="206" t="s">
        <v>97</v>
      </c>
      <c r="B193" s="192"/>
      <c r="C193" s="192"/>
      <c r="D193" s="192"/>
      <c r="E193" s="192"/>
      <c r="F193" s="192"/>
      <c r="G193" s="192"/>
      <c r="H193" s="192"/>
      <c r="I193" s="192"/>
      <c r="J193" s="192"/>
      <c r="K193" s="192"/>
      <c r="L193" s="192"/>
      <c r="M193" s="192"/>
      <c r="N193" s="192"/>
      <c r="O193" s="192"/>
      <c r="P193" s="192"/>
      <c r="Q193" s="192"/>
      <c r="R193" s="192"/>
      <c r="S193" s="192"/>
      <c r="T193" s="192"/>
      <c r="U193" s="192"/>
      <c r="V193" s="192"/>
      <c r="W193" s="192"/>
      <c r="X193" s="223">
        <f>X190*X191</f>
        <v>133.66229814090843</v>
      </c>
      <c r="Y193" s="200">
        <f>Y190*Y191</f>
        <v>135.58720231201016</v>
      </c>
      <c r="Z193" s="200">
        <f t="shared" ref="Z193:BK193" si="3210">Z190*Z191</f>
        <v>137.53982750930604</v>
      </c>
      <c r="AA193" s="200">
        <f t="shared" si="3210"/>
        <v>139.52057295022442</v>
      </c>
      <c r="AB193" s="200">
        <f t="shared" si="3210"/>
        <v>84.917906160854301</v>
      </c>
      <c r="AC193" s="200">
        <f t="shared" si="3210"/>
        <v>86.140830156953314</v>
      </c>
      <c r="AD193" s="200">
        <f t="shared" si="3210"/>
        <v>87.381365787251127</v>
      </c>
      <c r="AE193" s="200">
        <f t="shared" si="3210"/>
        <v>88.639766681294773</v>
      </c>
      <c r="AF193" s="200">
        <f t="shared" si="3210"/>
        <v>89.916290121213763</v>
      </c>
      <c r="AG193" s="200">
        <f t="shared" si="3210"/>
        <v>91.211197094321889</v>
      </c>
      <c r="AH193" s="200">
        <f t="shared" si="3210"/>
        <v>92.52475234647649</v>
      </c>
      <c r="AI193" s="200">
        <f t="shared" si="3210"/>
        <v>93.857224436206195</v>
      </c>
      <c r="AJ193" s="200">
        <f t="shared" si="3210"/>
        <v>95.208885789618094</v>
      </c>
      <c r="AK193" s="200">
        <f t="shared" si="3210"/>
        <v>96.58001275609584</v>
      </c>
      <c r="AL193" s="200">
        <f t="shared" si="3210"/>
        <v>97.970885664799567</v>
      </c>
      <c r="AM193" s="200">
        <f t="shared" si="3210"/>
        <v>99.381788881979759</v>
      </c>
      <c r="AN193" s="200">
        <f t="shared" si="3210"/>
        <v>100.81301086911635</v>
      </c>
      <c r="AO193" s="200">
        <f t="shared" si="3210"/>
        <v>102.26484424189523</v>
      </c>
      <c r="AP193" s="200">
        <f t="shared" si="3210"/>
        <v>103.73758583003382</v>
      </c>
      <c r="AQ193" s="200">
        <f t="shared" si="3210"/>
        <v>0</v>
      </c>
      <c r="AR193" s="200">
        <f t="shared" si="3210"/>
        <v>0</v>
      </c>
      <c r="AS193" s="200">
        <f t="shared" si="3210"/>
        <v>0</v>
      </c>
      <c r="AT193" s="200">
        <f t="shared" si="3210"/>
        <v>0</v>
      </c>
      <c r="AU193" s="200">
        <f t="shared" si="3210"/>
        <v>0</v>
      </c>
      <c r="AV193" s="200">
        <f t="shared" si="3210"/>
        <v>0</v>
      </c>
      <c r="AW193" s="200">
        <f t="shared" si="3210"/>
        <v>0</v>
      </c>
      <c r="AX193" s="200">
        <f t="shared" si="3210"/>
        <v>0</v>
      </c>
      <c r="AY193" s="200">
        <f t="shared" si="3210"/>
        <v>0</v>
      </c>
      <c r="AZ193" s="200">
        <f t="shared" si="3210"/>
        <v>0</v>
      </c>
      <c r="BA193" s="200">
        <f t="shared" si="3210"/>
        <v>0</v>
      </c>
      <c r="BB193" s="200">
        <f t="shared" si="3210"/>
        <v>0</v>
      </c>
      <c r="BC193" s="200">
        <f t="shared" si="3210"/>
        <v>0</v>
      </c>
      <c r="BD193" s="200">
        <f t="shared" si="3210"/>
        <v>0</v>
      </c>
      <c r="BE193" s="200">
        <f t="shared" si="3210"/>
        <v>0</v>
      </c>
      <c r="BF193" s="200">
        <f t="shared" si="3210"/>
        <v>0</v>
      </c>
      <c r="BG193" s="200">
        <f t="shared" si="3210"/>
        <v>0</v>
      </c>
      <c r="BH193" s="200">
        <f t="shared" si="3210"/>
        <v>0</v>
      </c>
      <c r="BI193" s="200">
        <f t="shared" si="3210"/>
        <v>0</v>
      </c>
      <c r="BJ193" s="200">
        <f t="shared" si="3210"/>
        <v>0</v>
      </c>
      <c r="BK193" s="200">
        <f t="shared" si="3210"/>
        <v>0</v>
      </c>
    </row>
    <row r="194" spans="1:63" ht="7.8" x14ac:dyDescent="0.15">
      <c r="A194" s="208" t="s">
        <v>203</v>
      </c>
      <c r="B194" s="192"/>
      <c r="C194" s="192"/>
      <c r="D194" s="192"/>
      <c r="E194" s="192"/>
      <c r="F194" s="192"/>
      <c r="G194" s="192"/>
      <c r="H194" s="192"/>
      <c r="I194" s="192"/>
      <c r="J194" s="192"/>
      <c r="K194" s="192"/>
      <c r="L194" s="192"/>
      <c r="M194" s="192"/>
      <c r="N194" s="192"/>
      <c r="O194" s="192"/>
      <c r="P194" s="192"/>
      <c r="Q194" s="192"/>
      <c r="R194" s="192"/>
      <c r="S194" s="192"/>
      <c r="T194" s="192"/>
      <c r="U194" s="192"/>
      <c r="V194" s="192"/>
      <c r="W194" s="192"/>
      <c r="X194" s="224">
        <f>IF(X186-101&lt;&gt;LoanSaleHeld,0,SUM($D193:X193)*LoanSalePercent)</f>
        <v>0</v>
      </c>
      <c r="Y194" s="225">
        <f>IF(Y186-101&lt;&gt;LoanSaleHeld,0,SUM($D193:Y193)*LoanSalePercent)</f>
        <v>0</v>
      </c>
      <c r="Z194" s="225">
        <f>IF(Z186-101&lt;&gt;LoanSaleHeld,0,SUM($D193:Z193)*LoanSalePercent)</f>
        <v>0</v>
      </c>
      <c r="AA194" s="225">
        <f>IF(AA186-101&lt;&gt;LoanSaleHeld,0,SUM($D193:AA193)*LoanSalePercent)</f>
        <v>218.52396036497964</v>
      </c>
      <c r="AB194" s="225">
        <f>IF(AB186-101&lt;&gt;LoanSaleHeld,0,SUM($D193:AB193)*LoanSalePercent)</f>
        <v>0</v>
      </c>
      <c r="AC194" s="225">
        <f>IF(AC186-101&lt;&gt;LoanSaleHeld,0,SUM($D193:AC193)*LoanSalePercent)</f>
        <v>0</v>
      </c>
      <c r="AD194" s="225">
        <f>IF(AD186-101&lt;&gt;LoanSaleHeld,0,SUM($D193:AD193)*LoanSalePercent)</f>
        <v>0</v>
      </c>
      <c r="AE194" s="225">
        <f>IF(AE186-101&lt;&gt;LoanSaleHeld,0,SUM($D193:AE193)*LoanSalePercent)</f>
        <v>0</v>
      </c>
      <c r="AF194" s="225">
        <f>IF(AF186-101&lt;&gt;LoanSaleHeld,0,SUM($D193:AF193)*LoanSalePercent)</f>
        <v>0</v>
      </c>
      <c r="AG194" s="225">
        <f>IF(AG186-101&lt;&gt;LoanSaleHeld,0,SUM($D193:AG193)*LoanSalePercent)</f>
        <v>0</v>
      </c>
      <c r="AH194" s="225">
        <f>IF(AH186-101&lt;&gt;LoanSaleHeld,0,SUM($D193:AH193)*LoanSalePercent)</f>
        <v>0</v>
      </c>
      <c r="AI194" s="225">
        <f>IF(AI186-101&lt;&gt;LoanSaleHeld,0,SUM($D193:AI193)*LoanSalePercent)</f>
        <v>0</v>
      </c>
      <c r="AJ194" s="225">
        <f>IF(AJ186-101&lt;&gt;LoanSaleHeld,0,SUM($D193:AJ193)*LoanSalePercent)</f>
        <v>0</v>
      </c>
      <c r="AK194" s="225">
        <f>IF(AK186-101&lt;&gt;LoanSaleHeld,0,SUM($D193:AK193)*LoanSalePercent)</f>
        <v>0</v>
      </c>
      <c r="AL194" s="225">
        <f>IF(AL186-101&lt;&gt;LoanSaleHeld,0,SUM($D193:AL193)*LoanSalePercent)</f>
        <v>0</v>
      </c>
      <c r="AM194" s="225">
        <f>IF(AM186-101&lt;&gt;LoanSaleHeld,0,SUM($D193:AM193)*LoanSalePercent)</f>
        <v>0</v>
      </c>
      <c r="AN194" s="225">
        <f>IF(AN186-101&lt;&gt;LoanSaleHeld,0,SUM($D193:AN193)*LoanSalePercent)</f>
        <v>0</v>
      </c>
      <c r="AO194" s="225">
        <f>IF(AO186-101&lt;&gt;LoanSaleHeld,0,SUM($D193:AO193)*LoanSalePercent)</f>
        <v>0</v>
      </c>
      <c r="AP194" s="225">
        <f>IF(AP186-101&lt;&gt;LoanSaleHeld,0,SUM($D193:AP193)*LoanSalePercent)</f>
        <v>0</v>
      </c>
      <c r="AQ194" s="225">
        <f>IF(AQ186-101&lt;&gt;LoanSaleHeld,0,SUM($D193:AQ193)*LoanSalePercent)</f>
        <v>0</v>
      </c>
      <c r="AR194" s="225">
        <f>IF(AR186-101&lt;&gt;LoanSaleHeld,0,SUM($D193:AR193)*LoanSalePercent)</f>
        <v>0</v>
      </c>
      <c r="AS194" s="225">
        <f>IF(AS186-101&lt;&gt;LoanSaleHeld,0,SUM($D193:AS193)*LoanSalePercent)</f>
        <v>0</v>
      </c>
      <c r="AT194" s="225">
        <f>IF(AT186-101&lt;&gt;LoanSaleHeld,0,SUM($D193:AT193)*LoanSalePercent)</f>
        <v>0</v>
      </c>
      <c r="AU194" s="225">
        <f>IF(AU186-101&lt;&gt;LoanSaleHeld,0,SUM($D193:AU193)*LoanSalePercent)</f>
        <v>0</v>
      </c>
      <c r="AV194" s="225">
        <f>IF(AV186-101&lt;&gt;LoanSaleHeld,0,SUM($D193:AV193)*LoanSalePercent)</f>
        <v>0</v>
      </c>
      <c r="AW194" s="225">
        <f>IF(AW186-101&lt;&gt;LoanSaleHeld,0,SUM($D193:AW193)*LoanSalePercent)</f>
        <v>0</v>
      </c>
      <c r="AX194" s="225">
        <f>IF(AX186-101&lt;&gt;LoanSaleHeld,0,SUM($D193:AX193)*LoanSalePercent)</f>
        <v>0</v>
      </c>
      <c r="AY194" s="225">
        <f>IF(AY186-101&lt;&gt;LoanSaleHeld,0,SUM($D193:AY193)*LoanSalePercent)</f>
        <v>0</v>
      </c>
      <c r="AZ194" s="225">
        <f>IF(AZ186-101&lt;&gt;LoanSaleHeld,0,SUM($D193:AZ193)*LoanSalePercent)</f>
        <v>0</v>
      </c>
      <c r="BA194" s="225">
        <f>IF(BA186-101&lt;&gt;LoanSaleHeld,0,SUM($D193:BA193)*LoanSalePercent)</f>
        <v>0</v>
      </c>
      <c r="BB194" s="225">
        <f>IF(BB186-101&lt;&gt;LoanSaleHeld,0,SUM($D193:BB193)*LoanSalePercent)</f>
        <v>0</v>
      </c>
      <c r="BC194" s="225">
        <f>IF(BC186-101&lt;&gt;LoanSaleHeld,0,SUM($D193:BC193)*LoanSalePercent)</f>
        <v>0</v>
      </c>
      <c r="BD194" s="225">
        <f>IF(BD186-101&lt;&gt;LoanSaleHeld,0,SUM($D193:BD193)*LoanSalePercent)</f>
        <v>0</v>
      </c>
      <c r="BE194" s="225">
        <f>IF(BE186-101&lt;&gt;LoanSaleHeld,0,SUM($D193:BE193)*LoanSalePercent)</f>
        <v>0</v>
      </c>
      <c r="BF194" s="225">
        <f>IF(BF186-101&lt;&gt;LoanSaleHeld,0,SUM($D193:BF193)*LoanSalePercent)</f>
        <v>0</v>
      </c>
      <c r="BG194" s="225">
        <f>IF(BG186-101&lt;&gt;LoanSaleHeld,0,SUM($D193:BG193)*LoanSalePercent)</f>
        <v>0</v>
      </c>
      <c r="BH194" s="225">
        <f>IF(BH186-101&lt;&gt;LoanSaleHeld,0,SUM($D193:BH193)*LoanSalePercent)</f>
        <v>0</v>
      </c>
      <c r="BI194" s="225">
        <f>IF(BI186-101&lt;&gt;LoanSaleHeld,0,SUM($D193:BI193)*LoanSalePercent)</f>
        <v>0</v>
      </c>
      <c r="BJ194" s="225">
        <f>IF(BJ186-101&lt;&gt;LoanSaleHeld,0,SUM($D193:BJ193)*LoanSalePercent)</f>
        <v>0</v>
      </c>
      <c r="BK194" s="225">
        <f>IF(BK186-101&lt;&gt;LoanSaleHeld,0,SUM($D193:BK193)*LoanSalePercent)</f>
        <v>0</v>
      </c>
    </row>
    <row r="195" spans="1:63" ht="7.8" x14ac:dyDescent="0.15">
      <c r="A195" s="204">
        <f t="shared" ref="A195" si="3211">A186+1</f>
        <v>22</v>
      </c>
      <c r="B195" s="192"/>
      <c r="C195" s="192"/>
      <c r="D195" s="192"/>
      <c r="E195" s="192"/>
      <c r="F195" s="192"/>
      <c r="G195" s="192"/>
      <c r="H195" s="192"/>
      <c r="I195" s="192"/>
      <c r="J195" s="192"/>
      <c r="K195" s="192"/>
      <c r="L195" s="192"/>
      <c r="M195" s="192"/>
      <c r="N195" s="192"/>
      <c r="O195" s="192"/>
      <c r="P195" s="192"/>
      <c r="Q195" s="192"/>
      <c r="R195" s="192"/>
      <c r="S195" s="192"/>
      <c r="T195" s="192"/>
      <c r="U195" s="192"/>
      <c r="V195" s="192"/>
      <c r="W195" s="192"/>
      <c r="X195" s="192"/>
      <c r="Y195" s="195">
        <v>101</v>
      </c>
      <c r="Z195" s="196">
        <f t="shared" ref="Z195" si="3212">IF(Z196=0,0,Y195+1)</f>
        <v>102</v>
      </c>
      <c r="AA195" s="196">
        <f t="shared" ref="AA195" si="3213">IF(AA196=0,0,Z195+1)</f>
        <v>103</v>
      </c>
      <c r="AB195" s="196">
        <f t="shared" ref="AB195" si="3214">IF(AB196=0,0,AA195+1)</f>
        <v>104</v>
      </c>
      <c r="AC195" s="196">
        <f t="shared" ref="AC195" si="3215">IF(AC196=0,0,AB195+1)</f>
        <v>105</v>
      </c>
      <c r="AD195" s="196">
        <f t="shared" ref="AD195" si="3216">IF(AD196=0,0,AC195+1)</f>
        <v>106</v>
      </c>
      <c r="AE195" s="196">
        <f t="shared" ref="AE195" si="3217">IF(AE196=0,0,AD195+1)</f>
        <v>107</v>
      </c>
      <c r="AF195" s="196">
        <f t="shared" ref="AF195" si="3218">IF(AF196=0,0,AE195+1)</f>
        <v>108</v>
      </c>
      <c r="AG195" s="196">
        <f t="shared" ref="AG195" si="3219">IF(AG196=0,0,AF195+1)</f>
        <v>109</v>
      </c>
      <c r="AH195" s="196">
        <f t="shared" ref="AH195" si="3220">IF(AH196=0,0,AG195+1)</f>
        <v>110</v>
      </c>
      <c r="AI195" s="196">
        <f t="shared" ref="AI195" si="3221">IF(AI196=0,0,AH195+1)</f>
        <v>111</v>
      </c>
      <c r="AJ195" s="196">
        <f t="shared" ref="AJ195" si="3222">IF(AJ196=0,0,AI195+1)</f>
        <v>112</v>
      </c>
      <c r="AK195" s="196">
        <f t="shared" ref="AK195" si="3223">IF(AK196=0,0,AJ195+1)</f>
        <v>113</v>
      </c>
      <c r="AL195" s="196">
        <f t="shared" ref="AL195" si="3224">IF(AL196=0,0,AK195+1)</f>
        <v>114</v>
      </c>
      <c r="AM195" s="196">
        <f t="shared" ref="AM195" si="3225">IF(AM196=0,0,AL195+1)</f>
        <v>115</v>
      </c>
      <c r="AN195" s="196">
        <f t="shared" ref="AN195" si="3226">IF(AN196=0,0,AM195+1)</f>
        <v>116</v>
      </c>
      <c r="AO195" s="196">
        <f t="shared" ref="AO195" si="3227">IF(AO196=0,0,AN195+1)</f>
        <v>117</v>
      </c>
      <c r="AP195" s="196">
        <f t="shared" ref="AP195" si="3228">IF(AP196=0,0,AO195+1)</f>
        <v>118</v>
      </c>
      <c r="AQ195" s="196">
        <f t="shared" ref="AQ195" si="3229">IF(AQ196=0,0,AP195+1)</f>
        <v>119</v>
      </c>
      <c r="AR195" s="196">
        <f t="shared" ref="AR195" si="3230">IF(AR196=0,0,AQ195+1)</f>
        <v>0</v>
      </c>
      <c r="AS195" s="196">
        <f t="shared" ref="AS195" si="3231">IF(AS196=0,0,AR195+1)</f>
        <v>0</v>
      </c>
      <c r="AT195" s="196">
        <f t="shared" ref="AT195" si="3232">IF(AT196=0,0,AS195+1)</f>
        <v>0</v>
      </c>
      <c r="AU195" s="196">
        <f t="shared" ref="AU195" si="3233">IF(AU196=0,0,AT195+1)</f>
        <v>0</v>
      </c>
      <c r="AV195" s="196">
        <f t="shared" ref="AV195" si="3234">IF(AV196=0,0,AU195+1)</f>
        <v>0</v>
      </c>
      <c r="AW195" s="196">
        <f t="shared" ref="AW195" si="3235">IF(AW196=0,0,AV195+1)</f>
        <v>0</v>
      </c>
      <c r="AX195" s="196">
        <f t="shared" ref="AX195" si="3236">IF(AX196=0,0,AW195+1)</f>
        <v>0</v>
      </c>
      <c r="AY195" s="196">
        <f t="shared" ref="AY195" si="3237">IF(AY196=0,0,AX195+1)</f>
        <v>0</v>
      </c>
      <c r="AZ195" s="196">
        <f t="shared" ref="AZ195" si="3238">IF(AZ196=0,0,AY195+1)</f>
        <v>0</v>
      </c>
      <c r="BA195" s="196">
        <f t="shared" ref="BA195" si="3239">IF(BA196=0,0,AZ195+1)</f>
        <v>0</v>
      </c>
      <c r="BB195" s="196">
        <f t="shared" ref="BB195" si="3240">IF(BB196=0,0,BA195+1)</f>
        <v>0</v>
      </c>
      <c r="BC195" s="196">
        <f t="shared" ref="BC195" si="3241">IF(BC196=0,0,BB195+1)</f>
        <v>0</v>
      </c>
      <c r="BD195" s="196">
        <f t="shared" ref="BD195" si="3242">IF(BD196=0,0,BC195+1)</f>
        <v>0</v>
      </c>
      <c r="BE195" s="196">
        <f t="shared" ref="BE195" si="3243">IF(BE196=0,0,BD195+1)</f>
        <v>0</v>
      </c>
      <c r="BF195" s="196">
        <f t="shared" ref="BF195" si="3244">IF(BF196=0,0,BE195+1)</f>
        <v>0</v>
      </c>
      <c r="BG195" s="196">
        <f t="shared" ref="BG195" si="3245">IF(BG196=0,0,BF195+1)</f>
        <v>0</v>
      </c>
      <c r="BH195" s="196">
        <f t="shared" ref="BH195" si="3246">IF(BH196=0,0,BG195+1)</f>
        <v>0</v>
      </c>
      <c r="BI195" s="196">
        <f t="shared" ref="BI195" si="3247">IF(BI196=0,0,BH195+1)</f>
        <v>0</v>
      </c>
      <c r="BJ195" s="196">
        <f t="shared" ref="BJ195" si="3248">IF(BJ196=0,0,BI195+1)</f>
        <v>0</v>
      </c>
      <c r="BK195" s="196">
        <f t="shared" ref="BK195" si="3249">IF(BK196=0,0,BJ195+1)</f>
        <v>0</v>
      </c>
    </row>
    <row r="196" spans="1:63" ht="7.8" x14ac:dyDescent="0.15">
      <c r="A196" s="216" t="s">
        <v>178</v>
      </c>
      <c r="B196" s="192"/>
      <c r="C196" s="192"/>
      <c r="D196" s="192"/>
      <c r="E196" s="192"/>
      <c r="F196" s="192"/>
      <c r="G196" s="192"/>
      <c r="H196" s="192"/>
      <c r="I196" s="192"/>
      <c r="J196" s="192"/>
      <c r="K196" s="192"/>
      <c r="L196" s="192"/>
      <c r="M196" s="192"/>
      <c r="N196" s="192"/>
      <c r="O196" s="192"/>
      <c r="P196" s="192"/>
      <c r="Q196" s="192"/>
      <c r="R196" s="192"/>
      <c r="S196" s="192"/>
      <c r="T196" s="192"/>
      <c r="U196" s="192"/>
      <c r="V196" s="192"/>
      <c r="W196" s="192"/>
      <c r="X196" s="192"/>
      <c r="Y196" s="217">
        <f>LoanSize</f>
        <v>25</v>
      </c>
      <c r="Z196" s="215">
        <f>IF(Y196-Y199&lt;=0.1,0,Y196-Y199)</f>
        <v>23.79027212253634</v>
      </c>
      <c r="AA196" s="215">
        <f t="shared" ref="AA196:BK196" si="3250">IF(Z196-Z199&lt;=0.1,0,Z196-Z199)</f>
        <v>22.56189427362845</v>
      </c>
      <c r="AB196" s="215">
        <f t="shared" si="3250"/>
        <v>21.314578932883229</v>
      </c>
      <c r="AC196" s="215">
        <f t="shared" si="3250"/>
        <v>20.048034147301522</v>
      </c>
      <c r="AD196" s="215">
        <f t="shared" si="3250"/>
        <v>18.761963462942095</v>
      </c>
      <c r="AE196" s="215">
        <f t="shared" si="3250"/>
        <v>17.456065855532128</v>
      </c>
      <c r="AF196" s="215">
        <f t="shared" si="3250"/>
        <v>16.130035660007923</v>
      </c>
      <c r="AG196" s="215">
        <f t="shared" si="3250"/>
        <v>14.783562498969387</v>
      </c>
      <c r="AH196" s="215">
        <f t="shared" si="3250"/>
        <v>13.416331210031506</v>
      </c>
      <c r="AI196" s="215">
        <f t="shared" si="3250"/>
        <v>12.028021772055833</v>
      </c>
      <c r="AJ196" s="215">
        <f t="shared" si="3250"/>
        <v>10.618309230244702</v>
      </c>
      <c r="AK196" s="215">
        <f t="shared" si="3250"/>
        <v>9.1868636200806488</v>
      </c>
      <c r="AL196" s="215">
        <f t="shared" si="3250"/>
        <v>7.7333498900932334</v>
      </c>
      <c r="AM196" s="215">
        <f t="shared" si="3250"/>
        <v>6.2574278234351794</v>
      </c>
      <c r="AN196" s="215">
        <f t="shared" si="3250"/>
        <v>4.7587519582494799</v>
      </c>
      <c r="AO196" s="215">
        <f t="shared" si="3250"/>
        <v>3.2369715068088345</v>
      </c>
      <c r="AP196" s="215">
        <f t="shared" si="3250"/>
        <v>1.6917302734084789</v>
      </c>
      <c r="AQ196" s="215">
        <f t="shared" si="3250"/>
        <v>0.12266657099320111</v>
      </c>
      <c r="AR196" s="215">
        <f t="shared" si="3250"/>
        <v>0</v>
      </c>
      <c r="AS196" s="215">
        <f t="shared" si="3250"/>
        <v>0</v>
      </c>
      <c r="AT196" s="215">
        <f t="shared" si="3250"/>
        <v>0</v>
      </c>
      <c r="AU196" s="215">
        <f t="shared" si="3250"/>
        <v>0</v>
      </c>
      <c r="AV196" s="215">
        <f t="shared" si="3250"/>
        <v>0</v>
      </c>
      <c r="AW196" s="215">
        <f t="shared" si="3250"/>
        <v>0</v>
      </c>
      <c r="AX196" s="215">
        <f t="shared" si="3250"/>
        <v>0</v>
      </c>
      <c r="AY196" s="215">
        <f t="shared" si="3250"/>
        <v>0</v>
      </c>
      <c r="AZ196" s="215">
        <f t="shared" si="3250"/>
        <v>0</v>
      </c>
      <c r="BA196" s="215">
        <f t="shared" si="3250"/>
        <v>0</v>
      </c>
      <c r="BB196" s="215">
        <f t="shared" si="3250"/>
        <v>0</v>
      </c>
      <c r="BC196" s="215">
        <f t="shared" si="3250"/>
        <v>0</v>
      </c>
      <c r="BD196" s="215">
        <f t="shared" si="3250"/>
        <v>0</v>
      </c>
      <c r="BE196" s="215">
        <f t="shared" si="3250"/>
        <v>0</v>
      </c>
      <c r="BF196" s="215">
        <f t="shared" si="3250"/>
        <v>0</v>
      </c>
      <c r="BG196" s="215">
        <f t="shared" si="3250"/>
        <v>0</v>
      </c>
      <c r="BH196" s="215">
        <f t="shared" si="3250"/>
        <v>0</v>
      </c>
      <c r="BI196" s="215">
        <f t="shared" si="3250"/>
        <v>0</v>
      </c>
      <c r="BJ196" s="215">
        <f t="shared" si="3250"/>
        <v>0</v>
      </c>
      <c r="BK196" s="215">
        <f t="shared" si="3250"/>
        <v>0</v>
      </c>
    </row>
    <row r="197" spans="1:63" ht="7.8" x14ac:dyDescent="0.15">
      <c r="A197" s="218" t="s">
        <v>179</v>
      </c>
      <c r="B197" s="192"/>
      <c r="C197" s="192"/>
      <c r="D197" s="192"/>
      <c r="E197" s="192"/>
      <c r="F197" s="192"/>
      <c r="G197" s="192"/>
      <c r="H197" s="192"/>
      <c r="I197" s="192"/>
      <c r="J197" s="192"/>
      <c r="K197" s="192"/>
      <c r="L197" s="192"/>
      <c r="M197" s="192"/>
      <c r="N197" s="192"/>
      <c r="O197" s="192"/>
      <c r="P197" s="192"/>
      <c r="Q197" s="192"/>
      <c r="R197" s="192"/>
      <c r="S197" s="192"/>
      <c r="T197" s="192"/>
      <c r="U197" s="192"/>
      <c r="V197" s="192"/>
      <c r="W197" s="192"/>
      <c r="X197" s="192"/>
      <c r="Y197" s="219">
        <f>IF(Y196=0,0,PMT(INDEX(LoanCohortRate,1),LoanTerm, -LoanSize))</f>
        <v>1.5951445441303251</v>
      </c>
      <c r="Z197" s="222">
        <f t="shared" ref="Z197" si="3251">IF(Z196=0,0, Y197)</f>
        <v>1.5951445441303251</v>
      </c>
      <c r="AA197" s="222">
        <f t="shared" ref="AA197" si="3252">IF(AA196=0,0, Z197)</f>
        <v>1.5951445441303251</v>
      </c>
      <c r="AB197" s="222">
        <f t="shared" ref="AB197" si="3253">IF(AB196=0,0, AA197)</f>
        <v>1.5951445441303251</v>
      </c>
      <c r="AC197" s="222">
        <f t="shared" ref="AC197" si="3254">IF(AC196=0,0, AB197)</f>
        <v>1.5951445441303251</v>
      </c>
      <c r="AD197" s="222">
        <f t="shared" ref="AD197" si="3255">IF(AD196=0,0, AC197)</f>
        <v>1.5951445441303251</v>
      </c>
      <c r="AE197" s="222">
        <f t="shared" ref="AE197" si="3256">IF(AE196=0,0, AD197)</f>
        <v>1.5951445441303251</v>
      </c>
      <c r="AF197" s="222">
        <f t="shared" ref="AF197" si="3257">IF(AF196=0,0, AE197)</f>
        <v>1.5951445441303251</v>
      </c>
      <c r="AG197" s="222">
        <f t="shared" ref="AG197" si="3258">IF(AG196=0,0, AF197)</f>
        <v>1.5951445441303251</v>
      </c>
      <c r="AH197" s="222">
        <f t="shared" ref="AH197" si="3259">IF(AH196=0,0, AG197)</f>
        <v>1.5951445441303251</v>
      </c>
      <c r="AI197" s="222">
        <f t="shared" ref="AI197" si="3260">IF(AI196=0,0, AH197)</f>
        <v>1.5951445441303251</v>
      </c>
      <c r="AJ197" s="222">
        <f t="shared" ref="AJ197" si="3261">IF(AJ196=0,0, AI197)</f>
        <v>1.5951445441303251</v>
      </c>
      <c r="AK197" s="222">
        <f t="shared" ref="AK197" si="3262">IF(AK196=0,0, AJ197)</f>
        <v>1.5951445441303251</v>
      </c>
      <c r="AL197" s="222">
        <f t="shared" ref="AL197" si="3263">IF(AL196=0,0, AK197)</f>
        <v>1.5951445441303251</v>
      </c>
      <c r="AM197" s="222">
        <f t="shared" ref="AM197" si="3264">IF(AM196=0,0, AL197)</f>
        <v>1.5951445441303251</v>
      </c>
      <c r="AN197" s="222">
        <f t="shared" ref="AN197" si="3265">IF(AN196=0,0, AM197)</f>
        <v>1.5951445441303251</v>
      </c>
      <c r="AO197" s="222">
        <f t="shared" ref="AO197" si="3266">IF(AO196=0,0, AN197)</f>
        <v>1.5951445441303251</v>
      </c>
      <c r="AP197" s="222">
        <f t="shared" ref="AP197" si="3267">IF(AP196=0,0, AO197)</f>
        <v>1.5951445441303251</v>
      </c>
      <c r="AQ197" s="222">
        <f t="shared" ref="AQ197" si="3268">IF(AQ196=0,0, AP197)</f>
        <v>1.5951445441303251</v>
      </c>
      <c r="AR197" s="222">
        <f t="shared" ref="AR197" si="3269">IF(AR196=0,0, AQ197)</f>
        <v>0</v>
      </c>
      <c r="AS197" s="222">
        <f t="shared" ref="AS197" si="3270">IF(AS196=0,0, AR197)</f>
        <v>0</v>
      </c>
      <c r="AT197" s="222">
        <f t="shared" ref="AT197" si="3271">IF(AT196=0,0, AS197)</f>
        <v>0</v>
      </c>
      <c r="AU197" s="222">
        <f t="shared" ref="AU197" si="3272">IF(AU196=0,0, AT197)</f>
        <v>0</v>
      </c>
      <c r="AV197" s="222">
        <f t="shared" ref="AV197" si="3273">IF(AV196=0,0, AU197)</f>
        <v>0</v>
      </c>
      <c r="AW197" s="222">
        <f t="shared" ref="AW197" si="3274">IF(AW196=0,0, AV197)</f>
        <v>0</v>
      </c>
      <c r="AX197" s="222">
        <f t="shared" ref="AX197" si="3275">IF(AX196=0,0, AW197)</f>
        <v>0</v>
      </c>
      <c r="AY197" s="222">
        <f t="shared" ref="AY197" si="3276">IF(AY196=0,0, AX197)</f>
        <v>0</v>
      </c>
      <c r="AZ197" s="222">
        <f t="shared" ref="AZ197" si="3277">IF(AZ196=0,0, AY197)</f>
        <v>0</v>
      </c>
      <c r="BA197" s="222">
        <f t="shared" ref="BA197" si="3278">IF(BA196=0,0, AZ197)</f>
        <v>0</v>
      </c>
      <c r="BB197" s="222">
        <f t="shared" ref="BB197" si="3279">IF(BB196=0,0, BA197)</f>
        <v>0</v>
      </c>
      <c r="BC197" s="222">
        <f t="shared" ref="BC197" si="3280">IF(BC196=0,0, BB197)</f>
        <v>0</v>
      </c>
      <c r="BD197" s="222">
        <f t="shared" ref="BD197" si="3281">IF(BD196=0,0, BC197)</f>
        <v>0</v>
      </c>
      <c r="BE197" s="222">
        <f t="shared" ref="BE197" si="3282">IF(BE196=0,0, BD197)</f>
        <v>0</v>
      </c>
      <c r="BF197" s="222">
        <f t="shared" ref="BF197" si="3283">IF(BF196=0,0, BE197)</f>
        <v>0</v>
      </c>
      <c r="BG197" s="222">
        <f t="shared" ref="BG197" si="3284">IF(BG196=0,0, BF197)</f>
        <v>0</v>
      </c>
      <c r="BH197" s="222">
        <f t="shared" ref="BH197" si="3285">IF(BH196=0,0, BG197)</f>
        <v>0</v>
      </c>
      <c r="BI197" s="222">
        <f t="shared" ref="BI197" si="3286">IF(BI196=0,0, BH197)</f>
        <v>0</v>
      </c>
      <c r="BJ197" s="222">
        <f t="shared" ref="BJ197" si="3287">IF(BJ196=0,0, BI197)</f>
        <v>0</v>
      </c>
      <c r="BK197" s="222">
        <f t="shared" ref="BK197" si="3288">IF(BK196=0,0, BJ197)</f>
        <v>0</v>
      </c>
    </row>
    <row r="198" spans="1:63" ht="7.8" x14ac:dyDescent="0.15">
      <c r="A198" s="218" t="s">
        <v>180</v>
      </c>
      <c r="B198" s="192"/>
      <c r="C198" s="192"/>
      <c r="D198" s="192"/>
      <c r="E198" s="192"/>
      <c r="F198" s="192"/>
      <c r="G198" s="192"/>
      <c r="H198" s="192"/>
      <c r="I198" s="192"/>
      <c r="J198" s="192"/>
      <c r="K198" s="192"/>
      <c r="L198" s="192"/>
      <c r="M198" s="192"/>
      <c r="N198" s="192"/>
      <c r="O198" s="192"/>
      <c r="P198" s="192"/>
      <c r="Q198" s="192"/>
      <c r="R198" s="192"/>
      <c r="S198" s="192"/>
      <c r="T198" s="192"/>
      <c r="U198" s="192"/>
      <c r="V198" s="192"/>
      <c r="W198" s="192"/>
      <c r="X198" s="192"/>
      <c r="Y198" s="220" cm="1">
        <f t="array" ref="Y198">Y196*INDEX(LoanCohortRate,$A195)</f>
        <v>0.38541666666666669</v>
      </c>
      <c r="Z198" s="221" cm="1">
        <f t="array" ref="Z198">Z196*INDEX(LoanCohortRate,$A195)</f>
        <v>0.36676669522243527</v>
      </c>
      <c r="AA198" s="221" cm="1">
        <f t="array" ref="AA198">AA196*INDEX(LoanCohortRate,$A195)</f>
        <v>0.34782920338510526</v>
      </c>
      <c r="AB198" s="221" cm="1">
        <f t="array" ref="AB198">AB196*INDEX(LoanCohortRate,$A195)</f>
        <v>0.32859975854861645</v>
      </c>
      <c r="AC198" s="221" cm="1">
        <f t="array" ref="AC198">AC196*INDEX(LoanCohortRate,$A195)</f>
        <v>0.30907385977089846</v>
      </c>
      <c r="AD198" s="221" cm="1">
        <f t="array" ref="AD198">AD196*INDEX(LoanCohortRate,$A195)</f>
        <v>0.28924693672035728</v>
      </c>
      <c r="AE198" s="221" cm="1">
        <f t="array" ref="AE198">AE196*INDEX(LoanCohortRate,$A195)</f>
        <v>0.26911434860612032</v>
      </c>
      <c r="AF198" s="221" cm="1">
        <f t="array" ref="AF198">AF196*INDEX(LoanCohortRate,$A195)</f>
        <v>0.24867138309178882</v>
      </c>
      <c r="AG198" s="221" cm="1">
        <f t="array" ref="AG198">AG196*INDEX(LoanCohortRate,$A195)</f>
        <v>0.22791325519244471</v>
      </c>
      <c r="AH198" s="221" cm="1">
        <f t="array" ref="AH198">AH196*INDEX(LoanCohortRate,$A195)</f>
        <v>0.20683510615465239</v>
      </c>
      <c r="AI198" s="221" cm="1">
        <f t="array" ref="AI198">AI196*INDEX(LoanCohortRate,$A195)</f>
        <v>0.1854320023191941</v>
      </c>
      <c r="AJ198" s="221" cm="1">
        <f t="array" ref="AJ198">AJ196*INDEX(LoanCohortRate,$A195)</f>
        <v>0.1636989339662725</v>
      </c>
      <c r="AK198" s="221" cm="1">
        <f t="array" ref="AK198">AK196*INDEX(LoanCohortRate,$A195)</f>
        <v>0.14163081414291001</v>
      </c>
      <c r="AL198" s="221" cm="1">
        <f t="array" ref="AL198">AL196*INDEX(LoanCohortRate,$A195)</f>
        <v>0.11922247747227069</v>
      </c>
      <c r="AM198" s="221" cm="1">
        <f t="array" ref="AM198">AM196*INDEX(LoanCohortRate,$A195)</f>
        <v>9.6468678944625685E-2</v>
      </c>
      <c r="AN198" s="221" cm="1">
        <f t="array" ref="AN198">AN196*INDEX(LoanCohortRate,$A195)</f>
        <v>7.3364092689679486E-2</v>
      </c>
      <c r="AO198" s="221" cm="1">
        <f t="array" ref="AO198">AO196*INDEX(LoanCohortRate,$A195)</f>
        <v>4.9903310729969536E-2</v>
      </c>
      <c r="AP198" s="221" cm="1">
        <f t="array" ref="AP198">AP196*INDEX(LoanCohortRate,$A195)</f>
        <v>2.6080841715047383E-2</v>
      </c>
      <c r="AQ198" s="221" cm="1">
        <f t="array" ref="AQ198">AQ196*INDEX(LoanCohortRate,$A195)</f>
        <v>1.8911096361451838E-3</v>
      </c>
      <c r="AR198" s="221" cm="1">
        <f t="array" ref="AR198">AR196*INDEX(LoanCohortRate,$A195)</f>
        <v>0</v>
      </c>
      <c r="AS198" s="221" cm="1">
        <f t="array" ref="AS198">AS196*INDEX(LoanCohortRate,$A195)</f>
        <v>0</v>
      </c>
      <c r="AT198" s="221" cm="1">
        <f t="array" ref="AT198">AT196*INDEX(LoanCohortRate,$A195)</f>
        <v>0</v>
      </c>
      <c r="AU198" s="221" cm="1">
        <f t="array" ref="AU198">AU196*INDEX(LoanCohortRate,$A195)</f>
        <v>0</v>
      </c>
      <c r="AV198" s="221" cm="1">
        <f t="array" ref="AV198">AV196*INDEX(LoanCohortRate,$A195)</f>
        <v>0</v>
      </c>
      <c r="AW198" s="221" cm="1">
        <f t="array" ref="AW198">AW196*INDEX(LoanCohortRate,$A195)</f>
        <v>0</v>
      </c>
      <c r="AX198" s="221" cm="1">
        <f t="array" ref="AX198">AX196*INDEX(LoanCohortRate,$A195)</f>
        <v>0</v>
      </c>
      <c r="AY198" s="221" cm="1">
        <f t="array" ref="AY198">AY196*INDEX(LoanCohortRate,$A195)</f>
        <v>0</v>
      </c>
      <c r="AZ198" s="221" cm="1">
        <f t="array" ref="AZ198">AZ196*INDEX(LoanCohortRate,$A195)</f>
        <v>0</v>
      </c>
      <c r="BA198" s="221" cm="1">
        <f t="array" ref="BA198">BA196*INDEX(LoanCohortRate,$A195)</f>
        <v>0</v>
      </c>
      <c r="BB198" s="221" cm="1">
        <f t="array" ref="BB198">BB196*INDEX(LoanCohortRate,$A195)</f>
        <v>0</v>
      </c>
      <c r="BC198" s="221" cm="1">
        <f t="array" ref="BC198">BC196*INDEX(LoanCohortRate,$A195)</f>
        <v>0</v>
      </c>
      <c r="BD198" s="221" cm="1">
        <f t="array" ref="BD198">BD196*INDEX(LoanCohortRate,$A195)</f>
        <v>0</v>
      </c>
      <c r="BE198" s="221" cm="1">
        <f t="array" ref="BE198">BE196*INDEX(LoanCohortRate,$A195)</f>
        <v>0</v>
      </c>
      <c r="BF198" s="221" cm="1">
        <f t="array" ref="BF198">BF196*INDEX(LoanCohortRate,$A195)</f>
        <v>0</v>
      </c>
      <c r="BG198" s="221" cm="1">
        <f t="array" ref="BG198">BG196*INDEX(LoanCohortRate,$A195)</f>
        <v>0</v>
      </c>
      <c r="BH198" s="221" cm="1">
        <f t="array" ref="BH198">BH196*INDEX(LoanCohortRate,$A195)</f>
        <v>0</v>
      </c>
      <c r="BI198" s="221" cm="1">
        <f t="array" ref="BI198">BI196*INDEX(LoanCohortRate,$A195)</f>
        <v>0</v>
      </c>
      <c r="BJ198" s="221" cm="1">
        <f t="array" ref="BJ198">BJ196*INDEX(LoanCohortRate,$A195)</f>
        <v>0</v>
      </c>
      <c r="BK198" s="221" cm="1">
        <f t="array" ref="BK198">BK196*INDEX(LoanCohortRate,$A195)</f>
        <v>0</v>
      </c>
    </row>
    <row r="199" spans="1:63" ht="7.8" x14ac:dyDescent="0.15">
      <c r="A199" s="218" t="s">
        <v>177</v>
      </c>
      <c r="B199" s="192"/>
      <c r="C199" s="192"/>
      <c r="D199" s="192"/>
      <c r="E199" s="192"/>
      <c r="F199" s="192"/>
      <c r="G199" s="192"/>
      <c r="H199" s="192"/>
      <c r="I199" s="192"/>
      <c r="J199" s="192"/>
      <c r="K199" s="192"/>
      <c r="L199" s="192"/>
      <c r="M199" s="192"/>
      <c r="N199" s="192"/>
      <c r="O199" s="192"/>
      <c r="P199" s="192"/>
      <c r="Q199" s="192"/>
      <c r="R199" s="192"/>
      <c r="S199" s="192"/>
      <c r="T199" s="192"/>
      <c r="U199" s="192"/>
      <c r="V199" s="192"/>
      <c r="W199" s="192"/>
      <c r="X199" s="192"/>
      <c r="Y199" s="219">
        <f>Y197-Y198</f>
        <v>1.2097278774636584</v>
      </c>
      <c r="Z199" s="222">
        <f t="shared" ref="Z199:BK199" si="3289">Z197-Z198</f>
        <v>1.2283778489078898</v>
      </c>
      <c r="AA199" s="222">
        <f t="shared" si="3289"/>
        <v>1.24731534074522</v>
      </c>
      <c r="AB199" s="222">
        <f t="shared" si="3289"/>
        <v>1.2665447855817087</v>
      </c>
      <c r="AC199" s="222">
        <f t="shared" si="3289"/>
        <v>1.2860706843594267</v>
      </c>
      <c r="AD199" s="222">
        <f t="shared" si="3289"/>
        <v>1.305897607409968</v>
      </c>
      <c r="AE199" s="222">
        <f t="shared" si="3289"/>
        <v>1.3260301955242049</v>
      </c>
      <c r="AF199" s="222">
        <f t="shared" si="3289"/>
        <v>1.3464731610385363</v>
      </c>
      <c r="AG199" s="222">
        <f t="shared" si="3289"/>
        <v>1.3672312889378804</v>
      </c>
      <c r="AH199" s="222">
        <f t="shared" si="3289"/>
        <v>1.3883094379756726</v>
      </c>
      <c r="AI199" s="222">
        <f t="shared" si="3289"/>
        <v>1.4097125418111309</v>
      </c>
      <c r="AJ199" s="222">
        <f t="shared" si="3289"/>
        <v>1.4314456101640527</v>
      </c>
      <c r="AK199" s="222">
        <f t="shared" si="3289"/>
        <v>1.453513729987415</v>
      </c>
      <c r="AL199" s="222">
        <f t="shared" si="3289"/>
        <v>1.4759220666580544</v>
      </c>
      <c r="AM199" s="222">
        <f t="shared" si="3289"/>
        <v>1.4986758651856995</v>
      </c>
      <c r="AN199" s="222">
        <f t="shared" si="3289"/>
        <v>1.5217804514406457</v>
      </c>
      <c r="AO199" s="222">
        <f t="shared" si="3289"/>
        <v>1.5452412334003556</v>
      </c>
      <c r="AP199" s="222">
        <f t="shared" si="3289"/>
        <v>1.5690637024152778</v>
      </c>
      <c r="AQ199" s="222">
        <f t="shared" si="3289"/>
        <v>1.59325343449418</v>
      </c>
      <c r="AR199" s="222">
        <f t="shared" si="3289"/>
        <v>0</v>
      </c>
      <c r="AS199" s="222">
        <f t="shared" si="3289"/>
        <v>0</v>
      </c>
      <c r="AT199" s="222">
        <f t="shared" si="3289"/>
        <v>0</v>
      </c>
      <c r="AU199" s="222">
        <f t="shared" si="3289"/>
        <v>0</v>
      </c>
      <c r="AV199" s="222">
        <f t="shared" si="3289"/>
        <v>0</v>
      </c>
      <c r="AW199" s="222">
        <f t="shared" si="3289"/>
        <v>0</v>
      </c>
      <c r="AX199" s="222">
        <f t="shared" si="3289"/>
        <v>0</v>
      </c>
      <c r="AY199" s="222">
        <f t="shared" si="3289"/>
        <v>0</v>
      </c>
      <c r="AZ199" s="222">
        <f t="shared" si="3289"/>
        <v>0</v>
      </c>
      <c r="BA199" s="222">
        <f t="shared" si="3289"/>
        <v>0</v>
      </c>
      <c r="BB199" s="222">
        <f t="shared" si="3289"/>
        <v>0</v>
      </c>
      <c r="BC199" s="222">
        <f t="shared" si="3289"/>
        <v>0</v>
      </c>
      <c r="BD199" s="222">
        <f t="shared" si="3289"/>
        <v>0</v>
      </c>
      <c r="BE199" s="222">
        <f t="shared" si="3289"/>
        <v>0</v>
      </c>
      <c r="BF199" s="222">
        <f t="shared" si="3289"/>
        <v>0</v>
      </c>
      <c r="BG199" s="222">
        <f t="shared" si="3289"/>
        <v>0</v>
      </c>
      <c r="BH199" s="222">
        <f t="shared" si="3289"/>
        <v>0</v>
      </c>
      <c r="BI199" s="222">
        <f t="shared" si="3289"/>
        <v>0</v>
      </c>
      <c r="BJ199" s="222">
        <f t="shared" si="3289"/>
        <v>0</v>
      </c>
      <c r="BK199" s="222">
        <f t="shared" si="3289"/>
        <v>0</v>
      </c>
    </row>
    <row r="200" spans="1:63" ht="7.8" x14ac:dyDescent="0.15">
      <c r="A200" s="205" t="s">
        <v>7</v>
      </c>
      <c r="B200" s="192"/>
      <c r="C200" s="192"/>
      <c r="D200" s="192"/>
      <c r="E200" s="192"/>
      <c r="F200" s="192"/>
      <c r="G200" s="192"/>
      <c r="H200" s="192"/>
      <c r="I200" s="192"/>
      <c r="J200" s="192"/>
      <c r="K200" s="192"/>
      <c r="L200" s="192"/>
      <c r="M200" s="192"/>
      <c r="N200" s="192"/>
      <c r="O200" s="192"/>
      <c r="P200" s="192"/>
      <c r="Q200" s="192"/>
      <c r="R200" s="192"/>
      <c r="S200" s="192"/>
      <c r="T200" s="192"/>
      <c r="U200" s="192"/>
      <c r="V200" s="192"/>
      <c r="W200" s="192"/>
      <c r="X200" s="192"/>
      <c r="Y200" s="214" cm="1">
        <f t="array" ref="Y200">INDEX(LoanOriginations,$A195)</f>
        <v>111.04200550726615</v>
      </c>
      <c r="Z200" s="199">
        <f t="shared" ref="Z200:BK200" si="3290">Y200*(1-MitigateDelinquency*MitigateChargeoff)  *  IF(Z195=0,0,IF(Z195-102=LoanSaleHeld,0.6,1))</f>
        <v>110.93096350175888</v>
      </c>
      <c r="AA200" s="199">
        <f t="shared" si="3290"/>
        <v>110.82003253825712</v>
      </c>
      <c r="AB200" s="199">
        <f t="shared" si="3290"/>
        <v>110.70921250571887</v>
      </c>
      <c r="AC200" s="199">
        <f t="shared" si="3290"/>
        <v>66.359101975927885</v>
      </c>
      <c r="AD200" s="199">
        <f t="shared" si="3290"/>
        <v>66.292742873951951</v>
      </c>
      <c r="AE200" s="199">
        <f t="shared" si="3290"/>
        <v>66.226450131077996</v>
      </c>
      <c r="AF200" s="199">
        <f t="shared" si="3290"/>
        <v>66.160223680946913</v>
      </c>
      <c r="AG200" s="199">
        <f t="shared" si="3290"/>
        <v>66.09406345726596</v>
      </c>
      <c r="AH200" s="199">
        <f t="shared" si="3290"/>
        <v>66.027969393808689</v>
      </c>
      <c r="AI200" s="199">
        <f t="shared" si="3290"/>
        <v>65.961941424414874</v>
      </c>
      <c r="AJ200" s="199">
        <f t="shared" si="3290"/>
        <v>65.895979482990455</v>
      </c>
      <c r="AK200" s="199">
        <f t="shared" si="3290"/>
        <v>65.830083503507467</v>
      </c>
      <c r="AL200" s="199">
        <f t="shared" si="3290"/>
        <v>65.764253420003953</v>
      </c>
      <c r="AM200" s="199">
        <f t="shared" si="3290"/>
        <v>65.698489166583954</v>
      </c>
      <c r="AN200" s="199">
        <f t="shared" si="3290"/>
        <v>65.632790677417375</v>
      </c>
      <c r="AO200" s="199">
        <f t="shared" si="3290"/>
        <v>65.567157886739963</v>
      </c>
      <c r="AP200" s="199">
        <f t="shared" si="3290"/>
        <v>65.501590728853216</v>
      </c>
      <c r="AQ200" s="199">
        <f t="shared" si="3290"/>
        <v>65.436089138124359</v>
      </c>
      <c r="AR200" s="199">
        <f t="shared" si="3290"/>
        <v>0</v>
      </c>
      <c r="AS200" s="199">
        <f t="shared" si="3290"/>
        <v>0</v>
      </c>
      <c r="AT200" s="199">
        <f t="shared" si="3290"/>
        <v>0</v>
      </c>
      <c r="AU200" s="199">
        <f t="shared" si="3290"/>
        <v>0</v>
      </c>
      <c r="AV200" s="199">
        <f t="shared" si="3290"/>
        <v>0</v>
      </c>
      <c r="AW200" s="199">
        <f t="shared" si="3290"/>
        <v>0</v>
      </c>
      <c r="AX200" s="199">
        <f t="shared" si="3290"/>
        <v>0</v>
      </c>
      <c r="AY200" s="199">
        <f t="shared" si="3290"/>
        <v>0</v>
      </c>
      <c r="AZ200" s="199">
        <f t="shared" si="3290"/>
        <v>0</v>
      </c>
      <c r="BA200" s="199">
        <f t="shared" si="3290"/>
        <v>0</v>
      </c>
      <c r="BB200" s="199">
        <f t="shared" si="3290"/>
        <v>0</v>
      </c>
      <c r="BC200" s="199">
        <f t="shared" si="3290"/>
        <v>0</v>
      </c>
      <c r="BD200" s="199">
        <f t="shared" si="3290"/>
        <v>0</v>
      </c>
      <c r="BE200" s="199">
        <f t="shared" si="3290"/>
        <v>0</v>
      </c>
      <c r="BF200" s="199">
        <f t="shared" si="3290"/>
        <v>0</v>
      </c>
      <c r="BG200" s="199">
        <f t="shared" si="3290"/>
        <v>0</v>
      </c>
      <c r="BH200" s="199">
        <f t="shared" si="3290"/>
        <v>0</v>
      </c>
      <c r="BI200" s="199">
        <f t="shared" si="3290"/>
        <v>0</v>
      </c>
      <c r="BJ200" s="199">
        <f t="shared" si="3290"/>
        <v>0</v>
      </c>
      <c r="BK200" s="199">
        <f t="shared" si="3290"/>
        <v>0</v>
      </c>
    </row>
    <row r="201" spans="1:63" ht="7.8" x14ac:dyDescent="0.15">
      <c r="A201" s="207" t="s">
        <v>96</v>
      </c>
      <c r="B201" s="192"/>
      <c r="C201" s="192"/>
      <c r="D201" s="192"/>
      <c r="E201" s="192"/>
      <c r="F201" s="192"/>
      <c r="G201" s="192"/>
      <c r="H201" s="192"/>
      <c r="I201" s="192"/>
      <c r="J201" s="192"/>
      <c r="K201" s="192"/>
      <c r="L201" s="192"/>
      <c r="M201" s="192"/>
      <c r="N201" s="192"/>
      <c r="O201" s="192"/>
      <c r="P201" s="192"/>
      <c r="Q201" s="192"/>
      <c r="R201" s="192"/>
      <c r="S201" s="192"/>
      <c r="T201" s="192"/>
      <c r="U201" s="192"/>
      <c r="V201" s="192"/>
      <c r="W201" s="192"/>
      <c r="X201" s="192"/>
      <c r="Y201" s="223">
        <f>Y198*Y200</f>
        <v>42.797439622592165</v>
      </c>
      <c r="Z201" s="200">
        <f t="shared" ref="Z201" si="3291">Z198*Z200</f>
        <v>40.685782881380689</v>
      </c>
      <c r="AA201" s="200">
        <f t="shared" ref="AA201" si="3292">AA198*AA200</f>
        <v>38.546443636893422</v>
      </c>
      <c r="AB201" s="200">
        <f t="shared" ref="AB201" si="3293">AB198*AB200</f>
        <v>36.379020498486689</v>
      </c>
      <c r="AC201" s="200">
        <f t="shared" ref="AC201" si="3294">AC198*AC200</f>
        <v>20.509863778630685</v>
      </c>
      <c r="AD201" s="200">
        <f t="shared" ref="AD201" si="3295">AD198*AD200</f>
        <v>19.174972803080895</v>
      </c>
      <c r="AE201" s="200">
        <f t="shared" ref="AE201" si="3296">AE198*AE200</f>
        <v>17.822487987520766</v>
      </c>
      <c r="AF201" s="200">
        <f t="shared" ref="AF201" si="3297">AF198*AF200</f>
        <v>16.452154328403189</v>
      </c>
      <c r="AG201" s="200">
        <f t="shared" ref="AG201" si="3298">AG198*AG200</f>
        <v>15.06371315144149</v>
      </c>
      <c r="AH201" s="200">
        <f t="shared" ref="AH201" si="3299">AH198*AH200</f>
        <v>13.65690205874456</v>
      </c>
      <c r="AI201" s="200">
        <f t="shared" ref="AI201" si="3300">AI198*AI200</f>
        <v>12.231454875190645</v>
      </c>
      <c r="AJ201" s="200">
        <f t="shared" ref="AJ201" si="3301">AJ198*AJ200</f>
        <v>10.787101594028902</v>
      </c>
      <c r="AK201" s="200">
        <f t="shared" ref="AK201" si="3302">AK198*AK200</f>
        <v>9.3235683216975129</v>
      </c>
      <c r="AL201" s="200">
        <f t="shared" ref="AL201" si="3303">AL198*AL200</f>
        <v>7.8405772218471217</v>
      </c>
      <c r="AM201" s="200">
        <f t="shared" ref="AM201" si="3304">AM198*AM200</f>
        <v>6.3378464585581558</v>
      </c>
      <c r="AN201" s="200">
        <f t="shared" ref="AN201" si="3305">AN198*AN200</f>
        <v>4.8150901387403797</v>
      </c>
      <c r="AO201" s="200">
        <f t="shared" ref="AO201" si="3306">AO198*AO200</f>
        <v>3.272018253702957</v>
      </c>
      <c r="AP201" s="200">
        <f t="shared" ref="AP201" si="3307">AP198*AP200</f>
        <v>1.7083366198830359</v>
      </c>
      <c r="AQ201" s="200">
        <f t="shared" ref="AQ201" si="3308">AQ198*AQ200</f>
        <v>0.12374681872076217</v>
      </c>
      <c r="AR201" s="200">
        <f t="shared" ref="AR201" si="3309">AR198*AR200</f>
        <v>0</v>
      </c>
      <c r="AS201" s="200">
        <f t="shared" ref="AS201" si="3310">AS198*AS200</f>
        <v>0</v>
      </c>
      <c r="AT201" s="200">
        <f t="shared" ref="AT201" si="3311">AT198*AT200</f>
        <v>0</v>
      </c>
      <c r="AU201" s="200">
        <f t="shared" ref="AU201" si="3312">AU198*AU200</f>
        <v>0</v>
      </c>
      <c r="AV201" s="200">
        <f t="shared" ref="AV201" si="3313">AV198*AV200</f>
        <v>0</v>
      </c>
      <c r="AW201" s="200">
        <f t="shared" ref="AW201" si="3314">AW198*AW200</f>
        <v>0</v>
      </c>
      <c r="AX201" s="200">
        <f t="shared" ref="AX201" si="3315">AX198*AX200</f>
        <v>0</v>
      </c>
      <c r="AY201" s="200">
        <f t="shared" ref="AY201" si="3316">AY198*AY200</f>
        <v>0</v>
      </c>
      <c r="AZ201" s="200">
        <f t="shared" ref="AZ201" si="3317">AZ198*AZ200</f>
        <v>0</v>
      </c>
      <c r="BA201" s="200">
        <f t="shared" ref="BA201" si="3318">BA198*BA200</f>
        <v>0</v>
      </c>
      <c r="BB201" s="200">
        <f t="shared" ref="BB201" si="3319">BB198*BB200</f>
        <v>0</v>
      </c>
      <c r="BC201" s="200">
        <f t="shared" ref="BC201" si="3320">BC198*BC200</f>
        <v>0</v>
      </c>
      <c r="BD201" s="200">
        <f t="shared" ref="BD201" si="3321">BD198*BD200</f>
        <v>0</v>
      </c>
      <c r="BE201" s="200">
        <f t="shared" ref="BE201" si="3322">BE198*BE200</f>
        <v>0</v>
      </c>
      <c r="BF201" s="200">
        <f t="shared" ref="BF201" si="3323">BF198*BF200</f>
        <v>0</v>
      </c>
      <c r="BG201" s="200">
        <f t="shared" ref="BG201" si="3324">BG198*BG200</f>
        <v>0</v>
      </c>
      <c r="BH201" s="200">
        <f t="shared" ref="BH201" si="3325">BH198*BH200</f>
        <v>0</v>
      </c>
      <c r="BI201" s="200">
        <f t="shared" ref="BI201" si="3326">BI198*BI200</f>
        <v>0</v>
      </c>
      <c r="BJ201" s="200">
        <f t="shared" ref="BJ201" si="3327">BJ198*BJ200</f>
        <v>0</v>
      </c>
      <c r="BK201" s="200">
        <f t="shared" ref="BK201" si="3328">BK198*BK200</f>
        <v>0</v>
      </c>
    </row>
    <row r="202" spans="1:63" ht="7.8" x14ac:dyDescent="0.15">
      <c r="A202" s="206" t="s">
        <v>97</v>
      </c>
      <c r="B202" s="192"/>
      <c r="C202" s="192"/>
      <c r="D202" s="192"/>
      <c r="E202" s="192"/>
      <c r="F202" s="192"/>
      <c r="G202" s="192"/>
      <c r="H202" s="192"/>
      <c r="I202" s="192"/>
      <c r="J202" s="192"/>
      <c r="K202" s="192"/>
      <c r="L202" s="192"/>
      <c r="M202" s="192"/>
      <c r="N202" s="192"/>
      <c r="O202" s="192"/>
      <c r="P202" s="192"/>
      <c r="Q202" s="192"/>
      <c r="R202" s="192"/>
      <c r="S202" s="192"/>
      <c r="T202" s="192"/>
      <c r="U202" s="192"/>
      <c r="V202" s="192"/>
      <c r="W202" s="192"/>
      <c r="X202" s="192"/>
      <c r="Y202" s="223">
        <f>Y199*Y200</f>
        <v>134.33060963161296</v>
      </c>
      <c r="Z202" s="200">
        <f>Z199*Z200</f>
        <v>136.2651383235702</v>
      </c>
      <c r="AA202" s="200">
        <f t="shared" ref="AA202:BK202" si="3329">AA199*AA200</f>
        <v>138.22752664685254</v>
      </c>
      <c r="AB202" s="200">
        <f t="shared" si="3329"/>
        <v>140.21817581497552</v>
      </c>
      <c r="AC202" s="200">
        <f t="shared" si="3329"/>
        <v>85.342495691658556</v>
      </c>
      <c r="AD202" s="200">
        <f t="shared" si="3329"/>
        <v>86.571534307738062</v>
      </c>
      <c r="AE202" s="200">
        <f t="shared" si="3329"/>
        <v>87.818272616187357</v>
      </c>
      <c r="AF202" s="200">
        <f t="shared" si="3329"/>
        <v>89.082965514701215</v>
      </c>
      <c r="AG202" s="200">
        <f t="shared" si="3329"/>
        <v>90.365871571819795</v>
      </c>
      <c r="AH202" s="200">
        <f t="shared" si="3329"/>
        <v>91.667253079793454</v>
      </c>
      <c r="AI202" s="200">
        <f t="shared" si="3329"/>
        <v>92.987376108208821</v>
      </c>
      <c r="AJ202" s="200">
        <f t="shared" si="3329"/>
        <v>94.32651055838717</v>
      </c>
      <c r="AK202" s="200">
        <f t="shared" si="3329"/>
        <v>95.684930218566137</v>
      </c>
      <c r="AL202" s="200">
        <f t="shared" si="3329"/>
        <v>97.06291281987626</v>
      </c>
      <c r="AM202" s="200">
        <f t="shared" si="3329"/>
        <v>98.460740093123519</v>
      </c>
      <c r="AN202" s="200">
        <f t="shared" si="3329"/>
        <v>99.878697826389612</v>
      </c>
      <c r="AO202" s="200">
        <f t="shared" si="3329"/>
        <v>101.31707592346191</v>
      </c>
      <c r="AP202" s="200">
        <f t="shared" si="3329"/>
        <v>102.77616846310467</v>
      </c>
      <c r="AQ202" s="200">
        <f t="shared" si="3329"/>
        <v>104.25627375918394</v>
      </c>
      <c r="AR202" s="200">
        <f t="shared" si="3329"/>
        <v>0</v>
      </c>
      <c r="AS202" s="200">
        <f t="shared" si="3329"/>
        <v>0</v>
      </c>
      <c r="AT202" s="200">
        <f t="shared" si="3329"/>
        <v>0</v>
      </c>
      <c r="AU202" s="200">
        <f t="shared" si="3329"/>
        <v>0</v>
      </c>
      <c r="AV202" s="200">
        <f t="shared" si="3329"/>
        <v>0</v>
      </c>
      <c r="AW202" s="200">
        <f t="shared" si="3329"/>
        <v>0</v>
      </c>
      <c r="AX202" s="200">
        <f t="shared" si="3329"/>
        <v>0</v>
      </c>
      <c r="AY202" s="200">
        <f t="shared" si="3329"/>
        <v>0</v>
      </c>
      <c r="AZ202" s="200">
        <f t="shared" si="3329"/>
        <v>0</v>
      </c>
      <c r="BA202" s="200">
        <f t="shared" si="3329"/>
        <v>0</v>
      </c>
      <c r="BB202" s="200">
        <f t="shared" si="3329"/>
        <v>0</v>
      </c>
      <c r="BC202" s="200">
        <f t="shared" si="3329"/>
        <v>0</v>
      </c>
      <c r="BD202" s="200">
        <f t="shared" si="3329"/>
        <v>0</v>
      </c>
      <c r="BE202" s="200">
        <f t="shared" si="3329"/>
        <v>0</v>
      </c>
      <c r="BF202" s="200">
        <f t="shared" si="3329"/>
        <v>0</v>
      </c>
      <c r="BG202" s="200">
        <f t="shared" si="3329"/>
        <v>0</v>
      </c>
      <c r="BH202" s="200">
        <f t="shared" si="3329"/>
        <v>0</v>
      </c>
      <c r="BI202" s="200">
        <f t="shared" si="3329"/>
        <v>0</v>
      </c>
      <c r="BJ202" s="200">
        <f t="shared" si="3329"/>
        <v>0</v>
      </c>
      <c r="BK202" s="200">
        <f t="shared" si="3329"/>
        <v>0</v>
      </c>
    </row>
    <row r="203" spans="1:63" ht="7.8" x14ac:dyDescent="0.15">
      <c r="A203" s="208" t="s">
        <v>203</v>
      </c>
      <c r="B203" s="192"/>
      <c r="C203" s="192"/>
      <c r="D203" s="192"/>
      <c r="E203" s="192"/>
      <c r="F203" s="192"/>
      <c r="G203" s="192"/>
      <c r="H203" s="192"/>
      <c r="I203" s="192"/>
      <c r="J203" s="192"/>
      <c r="K203" s="192"/>
      <c r="L203" s="192"/>
      <c r="M203" s="192"/>
      <c r="N203" s="192"/>
      <c r="O203" s="192"/>
      <c r="P203" s="192"/>
      <c r="Q203" s="192"/>
      <c r="R203" s="192"/>
      <c r="S203" s="192"/>
      <c r="T203" s="192"/>
      <c r="U203" s="192"/>
      <c r="V203" s="192"/>
      <c r="W203" s="192"/>
      <c r="X203" s="192"/>
      <c r="Y203" s="224">
        <f>IF(Y195-101&lt;&gt;LoanSaleHeld,0,SUM($D202:Y202)*LoanSalePercent)</f>
        <v>0</v>
      </c>
      <c r="Z203" s="225">
        <f>IF(Z195-101&lt;&gt;LoanSaleHeld,0,SUM($D202:Z202)*LoanSalePercent)</f>
        <v>0</v>
      </c>
      <c r="AA203" s="225">
        <f>IF(AA195-101&lt;&gt;LoanSaleHeld,0,SUM($D202:AA202)*LoanSalePercent)</f>
        <v>0</v>
      </c>
      <c r="AB203" s="225">
        <f>IF(AB195-101&lt;&gt;LoanSaleHeld,0,SUM($D202:AB202)*LoanSalePercent)</f>
        <v>219.61658016680451</v>
      </c>
      <c r="AC203" s="225">
        <f>IF(AC195-101&lt;&gt;LoanSaleHeld,0,SUM($D202:AC202)*LoanSalePercent)</f>
        <v>0</v>
      </c>
      <c r="AD203" s="225">
        <f>IF(AD195-101&lt;&gt;LoanSaleHeld,0,SUM($D202:AD202)*LoanSalePercent)</f>
        <v>0</v>
      </c>
      <c r="AE203" s="225">
        <f>IF(AE195-101&lt;&gt;LoanSaleHeld,0,SUM($D202:AE202)*LoanSalePercent)</f>
        <v>0</v>
      </c>
      <c r="AF203" s="225">
        <f>IF(AF195-101&lt;&gt;LoanSaleHeld,0,SUM($D202:AF202)*LoanSalePercent)</f>
        <v>0</v>
      </c>
      <c r="AG203" s="225">
        <f>IF(AG195-101&lt;&gt;LoanSaleHeld,0,SUM($D202:AG202)*LoanSalePercent)</f>
        <v>0</v>
      </c>
      <c r="AH203" s="225">
        <f>IF(AH195-101&lt;&gt;LoanSaleHeld,0,SUM($D202:AH202)*LoanSalePercent)</f>
        <v>0</v>
      </c>
      <c r="AI203" s="225">
        <f>IF(AI195-101&lt;&gt;LoanSaleHeld,0,SUM($D202:AI202)*LoanSalePercent)</f>
        <v>0</v>
      </c>
      <c r="AJ203" s="225">
        <f>IF(AJ195-101&lt;&gt;LoanSaleHeld,0,SUM($D202:AJ202)*LoanSalePercent)</f>
        <v>0</v>
      </c>
      <c r="AK203" s="225">
        <f>IF(AK195-101&lt;&gt;LoanSaleHeld,0,SUM($D202:AK202)*LoanSalePercent)</f>
        <v>0</v>
      </c>
      <c r="AL203" s="225">
        <f>IF(AL195-101&lt;&gt;LoanSaleHeld,0,SUM($D202:AL202)*LoanSalePercent)</f>
        <v>0</v>
      </c>
      <c r="AM203" s="225">
        <f>IF(AM195-101&lt;&gt;LoanSaleHeld,0,SUM($D202:AM202)*LoanSalePercent)</f>
        <v>0</v>
      </c>
      <c r="AN203" s="225">
        <f>IF(AN195-101&lt;&gt;LoanSaleHeld,0,SUM($D202:AN202)*LoanSalePercent)</f>
        <v>0</v>
      </c>
      <c r="AO203" s="225">
        <f>IF(AO195-101&lt;&gt;LoanSaleHeld,0,SUM($D202:AO202)*LoanSalePercent)</f>
        <v>0</v>
      </c>
      <c r="AP203" s="225">
        <f>IF(AP195-101&lt;&gt;LoanSaleHeld,0,SUM($D202:AP202)*LoanSalePercent)</f>
        <v>0</v>
      </c>
      <c r="AQ203" s="225">
        <f>IF(AQ195-101&lt;&gt;LoanSaleHeld,0,SUM($D202:AQ202)*LoanSalePercent)</f>
        <v>0</v>
      </c>
      <c r="AR203" s="225">
        <f>IF(AR195-101&lt;&gt;LoanSaleHeld,0,SUM($D202:AR202)*LoanSalePercent)</f>
        <v>0</v>
      </c>
      <c r="AS203" s="225">
        <f>IF(AS195-101&lt;&gt;LoanSaleHeld,0,SUM($D202:AS202)*LoanSalePercent)</f>
        <v>0</v>
      </c>
      <c r="AT203" s="225">
        <f>IF(AT195-101&lt;&gt;LoanSaleHeld,0,SUM($D202:AT202)*LoanSalePercent)</f>
        <v>0</v>
      </c>
      <c r="AU203" s="225">
        <f>IF(AU195-101&lt;&gt;LoanSaleHeld,0,SUM($D202:AU202)*LoanSalePercent)</f>
        <v>0</v>
      </c>
      <c r="AV203" s="225">
        <f>IF(AV195-101&lt;&gt;LoanSaleHeld,0,SUM($D202:AV202)*LoanSalePercent)</f>
        <v>0</v>
      </c>
      <c r="AW203" s="225">
        <f>IF(AW195-101&lt;&gt;LoanSaleHeld,0,SUM($D202:AW202)*LoanSalePercent)</f>
        <v>0</v>
      </c>
      <c r="AX203" s="225">
        <f>IF(AX195-101&lt;&gt;LoanSaleHeld,0,SUM($D202:AX202)*LoanSalePercent)</f>
        <v>0</v>
      </c>
      <c r="AY203" s="225">
        <f>IF(AY195-101&lt;&gt;LoanSaleHeld,0,SUM($D202:AY202)*LoanSalePercent)</f>
        <v>0</v>
      </c>
      <c r="AZ203" s="225">
        <f>IF(AZ195-101&lt;&gt;LoanSaleHeld,0,SUM($D202:AZ202)*LoanSalePercent)</f>
        <v>0</v>
      </c>
      <c r="BA203" s="225">
        <f>IF(BA195-101&lt;&gt;LoanSaleHeld,0,SUM($D202:BA202)*LoanSalePercent)</f>
        <v>0</v>
      </c>
      <c r="BB203" s="225">
        <f>IF(BB195-101&lt;&gt;LoanSaleHeld,0,SUM($D202:BB202)*LoanSalePercent)</f>
        <v>0</v>
      </c>
      <c r="BC203" s="225">
        <f>IF(BC195-101&lt;&gt;LoanSaleHeld,0,SUM($D202:BC202)*LoanSalePercent)</f>
        <v>0</v>
      </c>
      <c r="BD203" s="225">
        <f>IF(BD195-101&lt;&gt;LoanSaleHeld,0,SUM($D202:BD202)*LoanSalePercent)</f>
        <v>0</v>
      </c>
      <c r="BE203" s="225">
        <f>IF(BE195-101&lt;&gt;LoanSaleHeld,0,SUM($D202:BE202)*LoanSalePercent)</f>
        <v>0</v>
      </c>
      <c r="BF203" s="225">
        <f>IF(BF195-101&lt;&gt;LoanSaleHeld,0,SUM($D202:BF202)*LoanSalePercent)</f>
        <v>0</v>
      </c>
      <c r="BG203" s="225">
        <f>IF(BG195-101&lt;&gt;LoanSaleHeld,0,SUM($D202:BG202)*LoanSalePercent)</f>
        <v>0</v>
      </c>
      <c r="BH203" s="225">
        <f>IF(BH195-101&lt;&gt;LoanSaleHeld,0,SUM($D202:BH202)*LoanSalePercent)</f>
        <v>0</v>
      </c>
      <c r="BI203" s="225">
        <f>IF(BI195-101&lt;&gt;LoanSaleHeld,0,SUM($D202:BI202)*LoanSalePercent)</f>
        <v>0</v>
      </c>
      <c r="BJ203" s="225">
        <f>IF(BJ195-101&lt;&gt;LoanSaleHeld,0,SUM($D202:BJ202)*LoanSalePercent)</f>
        <v>0</v>
      </c>
      <c r="BK203" s="225">
        <f>IF(BK195-101&lt;&gt;LoanSaleHeld,0,SUM($D202:BK202)*LoanSalePercent)</f>
        <v>0</v>
      </c>
    </row>
    <row r="204" spans="1:63" ht="7.8" x14ac:dyDescent="0.15">
      <c r="A204" s="204">
        <f t="shared" ref="A204" si="3330">A195+1</f>
        <v>23</v>
      </c>
      <c r="B204" s="192"/>
      <c r="C204" s="192"/>
      <c r="D204" s="192"/>
      <c r="E204" s="192"/>
      <c r="F204" s="192"/>
      <c r="G204" s="192"/>
      <c r="H204" s="192"/>
      <c r="I204" s="192"/>
      <c r="J204" s="192"/>
      <c r="K204" s="192"/>
      <c r="L204" s="192"/>
      <c r="M204" s="192"/>
      <c r="N204" s="192"/>
      <c r="O204" s="192"/>
      <c r="P204" s="192"/>
      <c r="Q204" s="192"/>
      <c r="R204" s="192"/>
      <c r="S204" s="192"/>
      <c r="T204" s="192"/>
      <c r="U204" s="192"/>
      <c r="V204" s="192"/>
      <c r="W204" s="192"/>
      <c r="X204" s="192"/>
      <c r="Y204" s="192"/>
      <c r="Z204" s="195">
        <v>101</v>
      </c>
      <c r="AA204" s="196">
        <f t="shared" ref="AA204" si="3331">IF(AA205=0,0,Z204+1)</f>
        <v>102</v>
      </c>
      <c r="AB204" s="196">
        <f t="shared" ref="AB204" si="3332">IF(AB205=0,0,AA204+1)</f>
        <v>103</v>
      </c>
      <c r="AC204" s="196">
        <f t="shared" ref="AC204" si="3333">IF(AC205=0,0,AB204+1)</f>
        <v>104</v>
      </c>
      <c r="AD204" s="196">
        <f t="shared" ref="AD204" si="3334">IF(AD205=0,0,AC204+1)</f>
        <v>105</v>
      </c>
      <c r="AE204" s="196">
        <f t="shared" ref="AE204" si="3335">IF(AE205=0,0,AD204+1)</f>
        <v>106</v>
      </c>
      <c r="AF204" s="196">
        <f t="shared" ref="AF204" si="3336">IF(AF205=0,0,AE204+1)</f>
        <v>107</v>
      </c>
      <c r="AG204" s="196">
        <f t="shared" ref="AG204" si="3337">IF(AG205=0,0,AF204+1)</f>
        <v>108</v>
      </c>
      <c r="AH204" s="196">
        <f t="shared" ref="AH204" si="3338">IF(AH205=0,0,AG204+1)</f>
        <v>109</v>
      </c>
      <c r="AI204" s="196">
        <f t="shared" ref="AI204" si="3339">IF(AI205=0,0,AH204+1)</f>
        <v>110</v>
      </c>
      <c r="AJ204" s="196">
        <f t="shared" ref="AJ204" si="3340">IF(AJ205=0,0,AI204+1)</f>
        <v>111</v>
      </c>
      <c r="AK204" s="196">
        <f t="shared" ref="AK204" si="3341">IF(AK205=0,0,AJ204+1)</f>
        <v>112</v>
      </c>
      <c r="AL204" s="196">
        <f t="shared" ref="AL204" si="3342">IF(AL205=0,0,AK204+1)</f>
        <v>113</v>
      </c>
      <c r="AM204" s="196">
        <f t="shared" ref="AM204" si="3343">IF(AM205=0,0,AL204+1)</f>
        <v>114</v>
      </c>
      <c r="AN204" s="196">
        <f t="shared" ref="AN204" si="3344">IF(AN205=0,0,AM204+1)</f>
        <v>115</v>
      </c>
      <c r="AO204" s="196">
        <f t="shared" ref="AO204" si="3345">IF(AO205=0,0,AN204+1)</f>
        <v>116</v>
      </c>
      <c r="AP204" s="196">
        <f t="shared" ref="AP204" si="3346">IF(AP205=0,0,AO204+1)</f>
        <v>117</v>
      </c>
      <c r="AQ204" s="196">
        <f t="shared" ref="AQ204" si="3347">IF(AQ205=0,0,AP204+1)</f>
        <v>118</v>
      </c>
      <c r="AR204" s="196">
        <f t="shared" ref="AR204" si="3348">IF(AR205=0,0,AQ204+1)</f>
        <v>119</v>
      </c>
      <c r="AS204" s="196">
        <f t="shared" ref="AS204" si="3349">IF(AS205=0,0,AR204+1)</f>
        <v>0</v>
      </c>
      <c r="AT204" s="196">
        <f t="shared" ref="AT204" si="3350">IF(AT205=0,0,AS204+1)</f>
        <v>0</v>
      </c>
      <c r="AU204" s="196">
        <f t="shared" ref="AU204" si="3351">IF(AU205=0,0,AT204+1)</f>
        <v>0</v>
      </c>
      <c r="AV204" s="196">
        <f t="shared" ref="AV204" si="3352">IF(AV205=0,0,AU204+1)</f>
        <v>0</v>
      </c>
      <c r="AW204" s="196">
        <f t="shared" ref="AW204" si="3353">IF(AW205=0,0,AV204+1)</f>
        <v>0</v>
      </c>
      <c r="AX204" s="196">
        <f t="shared" ref="AX204" si="3354">IF(AX205=0,0,AW204+1)</f>
        <v>0</v>
      </c>
      <c r="AY204" s="196">
        <f t="shared" ref="AY204" si="3355">IF(AY205=0,0,AX204+1)</f>
        <v>0</v>
      </c>
      <c r="AZ204" s="196">
        <f t="shared" ref="AZ204" si="3356">IF(AZ205=0,0,AY204+1)</f>
        <v>0</v>
      </c>
      <c r="BA204" s="196">
        <f t="shared" ref="BA204" si="3357">IF(BA205=0,0,AZ204+1)</f>
        <v>0</v>
      </c>
      <c r="BB204" s="196">
        <f t="shared" ref="BB204" si="3358">IF(BB205=0,0,BA204+1)</f>
        <v>0</v>
      </c>
      <c r="BC204" s="196">
        <f t="shared" ref="BC204" si="3359">IF(BC205=0,0,BB204+1)</f>
        <v>0</v>
      </c>
      <c r="BD204" s="196">
        <f t="shared" ref="BD204" si="3360">IF(BD205=0,0,BC204+1)</f>
        <v>0</v>
      </c>
      <c r="BE204" s="196">
        <f t="shared" ref="BE204" si="3361">IF(BE205=0,0,BD204+1)</f>
        <v>0</v>
      </c>
      <c r="BF204" s="196">
        <f t="shared" ref="BF204" si="3362">IF(BF205=0,0,BE204+1)</f>
        <v>0</v>
      </c>
      <c r="BG204" s="196">
        <f t="shared" ref="BG204" si="3363">IF(BG205=0,0,BF204+1)</f>
        <v>0</v>
      </c>
      <c r="BH204" s="196">
        <f t="shared" ref="BH204" si="3364">IF(BH205=0,0,BG204+1)</f>
        <v>0</v>
      </c>
      <c r="BI204" s="196">
        <f t="shared" ref="BI204" si="3365">IF(BI205=0,0,BH204+1)</f>
        <v>0</v>
      </c>
      <c r="BJ204" s="196">
        <f t="shared" ref="BJ204" si="3366">IF(BJ205=0,0,BI204+1)</f>
        <v>0</v>
      </c>
      <c r="BK204" s="196">
        <f t="shared" ref="BK204" si="3367">IF(BK205=0,0,BJ204+1)</f>
        <v>0</v>
      </c>
    </row>
    <row r="205" spans="1:63" ht="7.8" x14ac:dyDescent="0.15">
      <c r="A205" s="216" t="s">
        <v>178</v>
      </c>
      <c r="B205" s="192"/>
      <c r="C205" s="192"/>
      <c r="D205" s="192"/>
      <c r="E205" s="192"/>
      <c r="F205" s="192"/>
      <c r="G205" s="192"/>
      <c r="H205" s="192"/>
      <c r="I205" s="192"/>
      <c r="J205" s="192"/>
      <c r="K205" s="192"/>
      <c r="L205" s="192"/>
      <c r="M205" s="192"/>
      <c r="N205" s="192"/>
      <c r="O205" s="192"/>
      <c r="P205" s="192"/>
      <c r="Q205" s="192"/>
      <c r="R205" s="192"/>
      <c r="S205" s="192"/>
      <c r="T205" s="192"/>
      <c r="U205" s="192"/>
      <c r="V205" s="192"/>
      <c r="W205" s="192"/>
      <c r="X205" s="192"/>
      <c r="Y205" s="192"/>
      <c r="Z205" s="217">
        <f>LoanSize</f>
        <v>25</v>
      </c>
      <c r="AA205" s="215">
        <f>IF(Z205-Z208&lt;=0.1,0,Z205-Z208)</f>
        <v>23.79027212253634</v>
      </c>
      <c r="AB205" s="215">
        <f t="shared" ref="AB205:BK205" si="3368">IF(AA205-AA208&lt;=0.1,0,AA205-AA208)</f>
        <v>22.56189427362845</v>
      </c>
      <c r="AC205" s="215">
        <f t="shared" si="3368"/>
        <v>21.314578932883229</v>
      </c>
      <c r="AD205" s="215">
        <f t="shared" si="3368"/>
        <v>20.048034147301522</v>
      </c>
      <c r="AE205" s="215">
        <f t="shared" si="3368"/>
        <v>18.761963462942095</v>
      </c>
      <c r="AF205" s="215">
        <f t="shared" si="3368"/>
        <v>17.456065855532128</v>
      </c>
      <c r="AG205" s="215">
        <f t="shared" si="3368"/>
        <v>16.130035660007923</v>
      </c>
      <c r="AH205" s="215">
        <f t="shared" si="3368"/>
        <v>14.783562498969387</v>
      </c>
      <c r="AI205" s="215">
        <f t="shared" si="3368"/>
        <v>13.416331210031506</v>
      </c>
      <c r="AJ205" s="215">
        <f t="shared" si="3368"/>
        <v>12.028021772055833</v>
      </c>
      <c r="AK205" s="215">
        <f t="shared" si="3368"/>
        <v>10.618309230244702</v>
      </c>
      <c r="AL205" s="215">
        <f t="shared" si="3368"/>
        <v>9.1868636200806488</v>
      </c>
      <c r="AM205" s="215">
        <f t="shared" si="3368"/>
        <v>7.7333498900932334</v>
      </c>
      <c r="AN205" s="215">
        <f t="shared" si="3368"/>
        <v>6.2574278234351794</v>
      </c>
      <c r="AO205" s="215">
        <f t="shared" si="3368"/>
        <v>4.7587519582494799</v>
      </c>
      <c r="AP205" s="215">
        <f t="shared" si="3368"/>
        <v>3.2369715068088345</v>
      </c>
      <c r="AQ205" s="215">
        <f t="shared" si="3368"/>
        <v>1.6917302734084789</v>
      </c>
      <c r="AR205" s="215">
        <f t="shared" si="3368"/>
        <v>0.12266657099320111</v>
      </c>
      <c r="AS205" s="215">
        <f t="shared" si="3368"/>
        <v>0</v>
      </c>
      <c r="AT205" s="215">
        <f t="shared" si="3368"/>
        <v>0</v>
      </c>
      <c r="AU205" s="215">
        <f t="shared" si="3368"/>
        <v>0</v>
      </c>
      <c r="AV205" s="215">
        <f t="shared" si="3368"/>
        <v>0</v>
      </c>
      <c r="AW205" s="215">
        <f t="shared" si="3368"/>
        <v>0</v>
      </c>
      <c r="AX205" s="215">
        <f t="shared" si="3368"/>
        <v>0</v>
      </c>
      <c r="AY205" s="215">
        <f t="shared" si="3368"/>
        <v>0</v>
      </c>
      <c r="AZ205" s="215">
        <f t="shared" si="3368"/>
        <v>0</v>
      </c>
      <c r="BA205" s="215">
        <f t="shared" si="3368"/>
        <v>0</v>
      </c>
      <c r="BB205" s="215">
        <f t="shared" si="3368"/>
        <v>0</v>
      </c>
      <c r="BC205" s="215">
        <f t="shared" si="3368"/>
        <v>0</v>
      </c>
      <c r="BD205" s="215">
        <f t="shared" si="3368"/>
        <v>0</v>
      </c>
      <c r="BE205" s="215">
        <f t="shared" si="3368"/>
        <v>0</v>
      </c>
      <c r="BF205" s="215">
        <f t="shared" si="3368"/>
        <v>0</v>
      </c>
      <c r="BG205" s="215">
        <f t="shared" si="3368"/>
        <v>0</v>
      </c>
      <c r="BH205" s="215">
        <f t="shared" si="3368"/>
        <v>0</v>
      </c>
      <c r="BI205" s="215">
        <f t="shared" si="3368"/>
        <v>0</v>
      </c>
      <c r="BJ205" s="215">
        <f t="shared" si="3368"/>
        <v>0</v>
      </c>
      <c r="BK205" s="215">
        <f t="shared" si="3368"/>
        <v>0</v>
      </c>
    </row>
    <row r="206" spans="1:63" ht="7.8" x14ac:dyDescent="0.15">
      <c r="A206" s="218" t="s">
        <v>179</v>
      </c>
      <c r="B206" s="192"/>
      <c r="C206" s="192"/>
      <c r="D206" s="192"/>
      <c r="E206" s="192"/>
      <c r="F206" s="192"/>
      <c r="G206" s="192"/>
      <c r="H206" s="192"/>
      <c r="I206" s="192"/>
      <c r="J206" s="192"/>
      <c r="K206" s="192"/>
      <c r="L206" s="192"/>
      <c r="M206" s="192"/>
      <c r="N206" s="192"/>
      <c r="O206" s="192"/>
      <c r="P206" s="192"/>
      <c r="Q206" s="192"/>
      <c r="R206" s="192"/>
      <c r="S206" s="192"/>
      <c r="T206" s="192"/>
      <c r="U206" s="192"/>
      <c r="V206" s="192"/>
      <c r="W206" s="192"/>
      <c r="X206" s="192"/>
      <c r="Y206" s="192"/>
      <c r="Z206" s="219">
        <f>IF(Z205=0,0,PMT(INDEX(LoanCohortRate,1),LoanTerm, -LoanSize))</f>
        <v>1.5951445441303251</v>
      </c>
      <c r="AA206" s="222">
        <f t="shared" ref="AA206" si="3369">IF(AA205=0,0, Z206)</f>
        <v>1.5951445441303251</v>
      </c>
      <c r="AB206" s="222">
        <f t="shared" ref="AB206" si="3370">IF(AB205=0,0, AA206)</f>
        <v>1.5951445441303251</v>
      </c>
      <c r="AC206" s="222">
        <f t="shared" ref="AC206" si="3371">IF(AC205=0,0, AB206)</f>
        <v>1.5951445441303251</v>
      </c>
      <c r="AD206" s="222">
        <f t="shared" ref="AD206" si="3372">IF(AD205=0,0, AC206)</f>
        <v>1.5951445441303251</v>
      </c>
      <c r="AE206" s="222">
        <f t="shared" ref="AE206" si="3373">IF(AE205=0,0, AD206)</f>
        <v>1.5951445441303251</v>
      </c>
      <c r="AF206" s="222">
        <f t="shared" ref="AF206" si="3374">IF(AF205=0,0, AE206)</f>
        <v>1.5951445441303251</v>
      </c>
      <c r="AG206" s="222">
        <f t="shared" ref="AG206" si="3375">IF(AG205=0,0, AF206)</f>
        <v>1.5951445441303251</v>
      </c>
      <c r="AH206" s="222">
        <f t="shared" ref="AH206" si="3376">IF(AH205=0,0, AG206)</f>
        <v>1.5951445441303251</v>
      </c>
      <c r="AI206" s="222">
        <f t="shared" ref="AI206" si="3377">IF(AI205=0,0, AH206)</f>
        <v>1.5951445441303251</v>
      </c>
      <c r="AJ206" s="222">
        <f t="shared" ref="AJ206" si="3378">IF(AJ205=0,0, AI206)</f>
        <v>1.5951445441303251</v>
      </c>
      <c r="AK206" s="222">
        <f t="shared" ref="AK206" si="3379">IF(AK205=0,0, AJ206)</f>
        <v>1.5951445441303251</v>
      </c>
      <c r="AL206" s="222">
        <f t="shared" ref="AL206" si="3380">IF(AL205=0,0, AK206)</f>
        <v>1.5951445441303251</v>
      </c>
      <c r="AM206" s="222">
        <f t="shared" ref="AM206" si="3381">IF(AM205=0,0, AL206)</f>
        <v>1.5951445441303251</v>
      </c>
      <c r="AN206" s="222">
        <f t="shared" ref="AN206" si="3382">IF(AN205=0,0, AM206)</f>
        <v>1.5951445441303251</v>
      </c>
      <c r="AO206" s="222">
        <f t="shared" ref="AO206" si="3383">IF(AO205=0,0, AN206)</f>
        <v>1.5951445441303251</v>
      </c>
      <c r="AP206" s="222">
        <f t="shared" ref="AP206" si="3384">IF(AP205=0,0, AO206)</f>
        <v>1.5951445441303251</v>
      </c>
      <c r="AQ206" s="222">
        <f t="shared" ref="AQ206" si="3385">IF(AQ205=0,0, AP206)</f>
        <v>1.5951445441303251</v>
      </c>
      <c r="AR206" s="222">
        <f t="shared" ref="AR206" si="3386">IF(AR205=0,0, AQ206)</f>
        <v>1.5951445441303251</v>
      </c>
      <c r="AS206" s="222">
        <f t="shared" ref="AS206" si="3387">IF(AS205=0,0, AR206)</f>
        <v>0</v>
      </c>
      <c r="AT206" s="222">
        <f t="shared" ref="AT206" si="3388">IF(AT205=0,0, AS206)</f>
        <v>0</v>
      </c>
      <c r="AU206" s="222">
        <f t="shared" ref="AU206" si="3389">IF(AU205=0,0, AT206)</f>
        <v>0</v>
      </c>
      <c r="AV206" s="222">
        <f t="shared" ref="AV206" si="3390">IF(AV205=0,0, AU206)</f>
        <v>0</v>
      </c>
      <c r="AW206" s="222">
        <f t="shared" ref="AW206" si="3391">IF(AW205=0,0, AV206)</f>
        <v>0</v>
      </c>
      <c r="AX206" s="222">
        <f t="shared" ref="AX206" si="3392">IF(AX205=0,0, AW206)</f>
        <v>0</v>
      </c>
      <c r="AY206" s="222">
        <f t="shared" ref="AY206" si="3393">IF(AY205=0,0, AX206)</f>
        <v>0</v>
      </c>
      <c r="AZ206" s="222">
        <f t="shared" ref="AZ206" si="3394">IF(AZ205=0,0, AY206)</f>
        <v>0</v>
      </c>
      <c r="BA206" s="222">
        <f t="shared" ref="BA206" si="3395">IF(BA205=0,0, AZ206)</f>
        <v>0</v>
      </c>
      <c r="BB206" s="222">
        <f t="shared" ref="BB206" si="3396">IF(BB205=0,0, BA206)</f>
        <v>0</v>
      </c>
      <c r="BC206" s="222">
        <f t="shared" ref="BC206" si="3397">IF(BC205=0,0, BB206)</f>
        <v>0</v>
      </c>
      <c r="BD206" s="222">
        <f t="shared" ref="BD206" si="3398">IF(BD205=0,0, BC206)</f>
        <v>0</v>
      </c>
      <c r="BE206" s="222">
        <f t="shared" ref="BE206" si="3399">IF(BE205=0,0, BD206)</f>
        <v>0</v>
      </c>
      <c r="BF206" s="222">
        <f t="shared" ref="BF206" si="3400">IF(BF205=0,0, BE206)</f>
        <v>0</v>
      </c>
      <c r="BG206" s="222">
        <f t="shared" ref="BG206" si="3401">IF(BG205=0,0, BF206)</f>
        <v>0</v>
      </c>
      <c r="BH206" s="222">
        <f t="shared" ref="BH206" si="3402">IF(BH205=0,0, BG206)</f>
        <v>0</v>
      </c>
      <c r="BI206" s="222">
        <f t="shared" ref="BI206" si="3403">IF(BI205=0,0, BH206)</f>
        <v>0</v>
      </c>
      <c r="BJ206" s="222">
        <f t="shared" ref="BJ206" si="3404">IF(BJ205=0,0, BI206)</f>
        <v>0</v>
      </c>
      <c r="BK206" s="222">
        <f t="shared" ref="BK206" si="3405">IF(BK205=0,0, BJ206)</f>
        <v>0</v>
      </c>
    </row>
    <row r="207" spans="1:63" ht="7.8" x14ac:dyDescent="0.15">
      <c r="A207" s="218" t="s">
        <v>180</v>
      </c>
      <c r="B207" s="192"/>
      <c r="C207" s="192"/>
      <c r="D207" s="192"/>
      <c r="E207" s="192"/>
      <c r="F207" s="192"/>
      <c r="G207" s="192"/>
      <c r="H207" s="192"/>
      <c r="I207" s="192"/>
      <c r="J207" s="192"/>
      <c r="K207" s="192"/>
      <c r="L207" s="192"/>
      <c r="M207" s="192"/>
      <c r="N207" s="192"/>
      <c r="O207" s="192"/>
      <c r="P207" s="192"/>
      <c r="Q207" s="192"/>
      <c r="R207" s="192"/>
      <c r="S207" s="192"/>
      <c r="T207" s="192"/>
      <c r="U207" s="192"/>
      <c r="V207" s="192"/>
      <c r="W207" s="192"/>
      <c r="X207" s="192"/>
      <c r="Y207" s="192"/>
      <c r="Z207" s="220" cm="1">
        <f t="array" ref="Z207">Z205*INDEX(LoanCohortRate,$A204)</f>
        <v>0.38541666666666669</v>
      </c>
      <c r="AA207" s="221" cm="1">
        <f t="array" ref="AA207">AA205*INDEX(LoanCohortRate,$A204)</f>
        <v>0.36676669522243527</v>
      </c>
      <c r="AB207" s="221" cm="1">
        <f t="array" ref="AB207">AB205*INDEX(LoanCohortRate,$A204)</f>
        <v>0.34782920338510526</v>
      </c>
      <c r="AC207" s="221" cm="1">
        <f t="array" ref="AC207">AC205*INDEX(LoanCohortRate,$A204)</f>
        <v>0.32859975854861645</v>
      </c>
      <c r="AD207" s="221" cm="1">
        <f t="array" ref="AD207">AD205*INDEX(LoanCohortRate,$A204)</f>
        <v>0.30907385977089846</v>
      </c>
      <c r="AE207" s="221" cm="1">
        <f t="array" ref="AE207">AE205*INDEX(LoanCohortRate,$A204)</f>
        <v>0.28924693672035728</v>
      </c>
      <c r="AF207" s="221" cm="1">
        <f t="array" ref="AF207">AF205*INDEX(LoanCohortRate,$A204)</f>
        <v>0.26911434860612032</v>
      </c>
      <c r="AG207" s="221" cm="1">
        <f t="array" ref="AG207">AG205*INDEX(LoanCohortRate,$A204)</f>
        <v>0.24867138309178882</v>
      </c>
      <c r="AH207" s="221" cm="1">
        <f t="array" ref="AH207">AH205*INDEX(LoanCohortRate,$A204)</f>
        <v>0.22791325519244471</v>
      </c>
      <c r="AI207" s="221" cm="1">
        <f t="array" ref="AI207">AI205*INDEX(LoanCohortRate,$A204)</f>
        <v>0.20683510615465239</v>
      </c>
      <c r="AJ207" s="221" cm="1">
        <f t="array" ref="AJ207">AJ205*INDEX(LoanCohortRate,$A204)</f>
        <v>0.1854320023191941</v>
      </c>
      <c r="AK207" s="221" cm="1">
        <f t="array" ref="AK207">AK205*INDEX(LoanCohortRate,$A204)</f>
        <v>0.1636989339662725</v>
      </c>
      <c r="AL207" s="221" cm="1">
        <f t="array" ref="AL207">AL205*INDEX(LoanCohortRate,$A204)</f>
        <v>0.14163081414291001</v>
      </c>
      <c r="AM207" s="221" cm="1">
        <f t="array" ref="AM207">AM205*INDEX(LoanCohortRate,$A204)</f>
        <v>0.11922247747227069</v>
      </c>
      <c r="AN207" s="221" cm="1">
        <f t="array" ref="AN207">AN205*INDEX(LoanCohortRate,$A204)</f>
        <v>9.6468678944625685E-2</v>
      </c>
      <c r="AO207" s="221" cm="1">
        <f t="array" ref="AO207">AO205*INDEX(LoanCohortRate,$A204)</f>
        <v>7.3364092689679486E-2</v>
      </c>
      <c r="AP207" s="221" cm="1">
        <f t="array" ref="AP207">AP205*INDEX(LoanCohortRate,$A204)</f>
        <v>4.9903310729969536E-2</v>
      </c>
      <c r="AQ207" s="221" cm="1">
        <f t="array" ref="AQ207">AQ205*INDEX(LoanCohortRate,$A204)</f>
        <v>2.6080841715047383E-2</v>
      </c>
      <c r="AR207" s="221" cm="1">
        <f t="array" ref="AR207">AR205*INDEX(LoanCohortRate,$A204)</f>
        <v>1.8911096361451838E-3</v>
      </c>
      <c r="AS207" s="221" cm="1">
        <f t="array" ref="AS207">AS205*INDEX(LoanCohortRate,$A204)</f>
        <v>0</v>
      </c>
      <c r="AT207" s="221" cm="1">
        <f t="array" ref="AT207">AT205*INDEX(LoanCohortRate,$A204)</f>
        <v>0</v>
      </c>
      <c r="AU207" s="221" cm="1">
        <f t="array" ref="AU207">AU205*INDEX(LoanCohortRate,$A204)</f>
        <v>0</v>
      </c>
      <c r="AV207" s="221" cm="1">
        <f t="array" ref="AV207">AV205*INDEX(LoanCohortRate,$A204)</f>
        <v>0</v>
      </c>
      <c r="AW207" s="221" cm="1">
        <f t="array" ref="AW207">AW205*INDEX(LoanCohortRate,$A204)</f>
        <v>0</v>
      </c>
      <c r="AX207" s="221" cm="1">
        <f t="array" ref="AX207">AX205*INDEX(LoanCohortRate,$A204)</f>
        <v>0</v>
      </c>
      <c r="AY207" s="221" cm="1">
        <f t="array" ref="AY207">AY205*INDEX(LoanCohortRate,$A204)</f>
        <v>0</v>
      </c>
      <c r="AZ207" s="221" cm="1">
        <f t="array" ref="AZ207">AZ205*INDEX(LoanCohortRate,$A204)</f>
        <v>0</v>
      </c>
      <c r="BA207" s="221" cm="1">
        <f t="array" ref="BA207">BA205*INDEX(LoanCohortRate,$A204)</f>
        <v>0</v>
      </c>
      <c r="BB207" s="221" cm="1">
        <f t="array" ref="BB207">BB205*INDEX(LoanCohortRate,$A204)</f>
        <v>0</v>
      </c>
      <c r="BC207" s="221" cm="1">
        <f t="array" ref="BC207">BC205*INDEX(LoanCohortRate,$A204)</f>
        <v>0</v>
      </c>
      <c r="BD207" s="221" cm="1">
        <f t="array" ref="BD207">BD205*INDEX(LoanCohortRate,$A204)</f>
        <v>0</v>
      </c>
      <c r="BE207" s="221" cm="1">
        <f t="array" ref="BE207">BE205*INDEX(LoanCohortRate,$A204)</f>
        <v>0</v>
      </c>
      <c r="BF207" s="221" cm="1">
        <f t="array" ref="BF207">BF205*INDEX(LoanCohortRate,$A204)</f>
        <v>0</v>
      </c>
      <c r="BG207" s="221" cm="1">
        <f t="array" ref="BG207">BG205*INDEX(LoanCohortRate,$A204)</f>
        <v>0</v>
      </c>
      <c r="BH207" s="221" cm="1">
        <f t="array" ref="BH207">BH205*INDEX(LoanCohortRate,$A204)</f>
        <v>0</v>
      </c>
      <c r="BI207" s="221" cm="1">
        <f t="array" ref="BI207">BI205*INDEX(LoanCohortRate,$A204)</f>
        <v>0</v>
      </c>
      <c r="BJ207" s="221" cm="1">
        <f t="array" ref="BJ207">BJ205*INDEX(LoanCohortRate,$A204)</f>
        <v>0</v>
      </c>
      <c r="BK207" s="221" cm="1">
        <f t="array" ref="BK207">BK205*INDEX(LoanCohortRate,$A204)</f>
        <v>0</v>
      </c>
    </row>
    <row r="208" spans="1:63" ht="7.8" x14ac:dyDescent="0.15">
      <c r="A208" s="218" t="s">
        <v>177</v>
      </c>
      <c r="B208" s="192"/>
      <c r="C208" s="192"/>
      <c r="D208" s="192"/>
      <c r="E208" s="192"/>
      <c r="F208" s="192"/>
      <c r="G208" s="192"/>
      <c r="H208" s="192"/>
      <c r="I208" s="192"/>
      <c r="J208" s="192"/>
      <c r="K208" s="192"/>
      <c r="L208" s="192"/>
      <c r="M208" s="192"/>
      <c r="N208" s="192"/>
      <c r="O208" s="192"/>
      <c r="P208" s="192"/>
      <c r="Q208" s="192"/>
      <c r="R208" s="192"/>
      <c r="S208" s="192"/>
      <c r="T208" s="192"/>
      <c r="U208" s="192"/>
      <c r="V208" s="192"/>
      <c r="W208" s="192"/>
      <c r="X208" s="192"/>
      <c r="Y208" s="192"/>
      <c r="Z208" s="219">
        <f>Z206-Z207</f>
        <v>1.2097278774636584</v>
      </c>
      <c r="AA208" s="222">
        <f t="shared" ref="AA208:BK208" si="3406">AA206-AA207</f>
        <v>1.2283778489078898</v>
      </c>
      <c r="AB208" s="222">
        <f t="shared" si="3406"/>
        <v>1.24731534074522</v>
      </c>
      <c r="AC208" s="222">
        <f t="shared" si="3406"/>
        <v>1.2665447855817087</v>
      </c>
      <c r="AD208" s="222">
        <f t="shared" si="3406"/>
        <v>1.2860706843594267</v>
      </c>
      <c r="AE208" s="222">
        <f t="shared" si="3406"/>
        <v>1.305897607409968</v>
      </c>
      <c r="AF208" s="222">
        <f t="shared" si="3406"/>
        <v>1.3260301955242049</v>
      </c>
      <c r="AG208" s="222">
        <f t="shared" si="3406"/>
        <v>1.3464731610385363</v>
      </c>
      <c r="AH208" s="222">
        <f t="shared" si="3406"/>
        <v>1.3672312889378804</v>
      </c>
      <c r="AI208" s="222">
        <f t="shared" si="3406"/>
        <v>1.3883094379756726</v>
      </c>
      <c r="AJ208" s="222">
        <f t="shared" si="3406"/>
        <v>1.4097125418111309</v>
      </c>
      <c r="AK208" s="222">
        <f t="shared" si="3406"/>
        <v>1.4314456101640527</v>
      </c>
      <c r="AL208" s="222">
        <f t="shared" si="3406"/>
        <v>1.453513729987415</v>
      </c>
      <c r="AM208" s="222">
        <f t="shared" si="3406"/>
        <v>1.4759220666580544</v>
      </c>
      <c r="AN208" s="222">
        <f t="shared" si="3406"/>
        <v>1.4986758651856995</v>
      </c>
      <c r="AO208" s="222">
        <f t="shared" si="3406"/>
        <v>1.5217804514406457</v>
      </c>
      <c r="AP208" s="222">
        <f t="shared" si="3406"/>
        <v>1.5452412334003556</v>
      </c>
      <c r="AQ208" s="222">
        <f t="shared" si="3406"/>
        <v>1.5690637024152778</v>
      </c>
      <c r="AR208" s="222">
        <f t="shared" si="3406"/>
        <v>1.59325343449418</v>
      </c>
      <c r="AS208" s="222">
        <f t="shared" si="3406"/>
        <v>0</v>
      </c>
      <c r="AT208" s="222">
        <f t="shared" si="3406"/>
        <v>0</v>
      </c>
      <c r="AU208" s="222">
        <f t="shared" si="3406"/>
        <v>0</v>
      </c>
      <c r="AV208" s="222">
        <f t="shared" si="3406"/>
        <v>0</v>
      </c>
      <c r="AW208" s="222">
        <f t="shared" si="3406"/>
        <v>0</v>
      </c>
      <c r="AX208" s="222">
        <f t="shared" si="3406"/>
        <v>0</v>
      </c>
      <c r="AY208" s="222">
        <f t="shared" si="3406"/>
        <v>0</v>
      </c>
      <c r="AZ208" s="222">
        <f t="shared" si="3406"/>
        <v>0</v>
      </c>
      <c r="BA208" s="222">
        <f t="shared" si="3406"/>
        <v>0</v>
      </c>
      <c r="BB208" s="222">
        <f t="shared" si="3406"/>
        <v>0</v>
      </c>
      <c r="BC208" s="222">
        <f t="shared" si="3406"/>
        <v>0</v>
      </c>
      <c r="BD208" s="222">
        <f t="shared" si="3406"/>
        <v>0</v>
      </c>
      <c r="BE208" s="222">
        <f t="shared" si="3406"/>
        <v>0</v>
      </c>
      <c r="BF208" s="222">
        <f t="shared" si="3406"/>
        <v>0</v>
      </c>
      <c r="BG208" s="222">
        <f t="shared" si="3406"/>
        <v>0</v>
      </c>
      <c r="BH208" s="222">
        <f t="shared" si="3406"/>
        <v>0</v>
      </c>
      <c r="BI208" s="222">
        <f t="shared" si="3406"/>
        <v>0</v>
      </c>
      <c r="BJ208" s="222">
        <f t="shared" si="3406"/>
        <v>0</v>
      </c>
      <c r="BK208" s="222">
        <f t="shared" si="3406"/>
        <v>0</v>
      </c>
    </row>
    <row r="209" spans="1:63" ht="7.8" x14ac:dyDescent="0.15">
      <c r="A209" s="205" t="s">
        <v>7</v>
      </c>
      <c r="B209" s="192"/>
      <c r="C209" s="192"/>
      <c r="D209" s="192"/>
      <c r="E209" s="192"/>
      <c r="F209" s="192"/>
      <c r="G209" s="192"/>
      <c r="H209" s="192"/>
      <c r="I209" s="192"/>
      <c r="J209" s="192"/>
      <c r="K209" s="192"/>
      <c r="L209" s="192"/>
      <c r="M209" s="192"/>
      <c r="N209" s="192"/>
      <c r="O209" s="192"/>
      <c r="P209" s="192"/>
      <c r="Q209" s="192"/>
      <c r="R209" s="192"/>
      <c r="S209" s="192"/>
      <c r="T209" s="192"/>
      <c r="U209" s="192"/>
      <c r="V209" s="192"/>
      <c r="W209" s="192"/>
      <c r="X209" s="192"/>
      <c r="Y209" s="192"/>
      <c r="Z209" s="214" cm="1">
        <f t="array" ref="Z209">INDEX(LoanOriginations,$A204)</f>
        <v>111.59721553480247</v>
      </c>
      <c r="AA209" s="199">
        <f t="shared" ref="AA209:BK209" si="3407">Z209*(1-MitigateDelinquency*MitigateChargeoff)  *  IF(AA204=0,0,IF(AA204-102=LoanSaleHeld,0.6,1))</f>
        <v>111.48561831926767</v>
      </c>
      <c r="AB209" s="199">
        <f t="shared" si="3407"/>
        <v>111.37413270094841</v>
      </c>
      <c r="AC209" s="199">
        <f t="shared" si="3407"/>
        <v>111.26275856824746</v>
      </c>
      <c r="AD209" s="199">
        <f t="shared" si="3407"/>
        <v>66.690897485807525</v>
      </c>
      <c r="AE209" s="199">
        <f t="shared" si="3407"/>
        <v>66.624206588321712</v>
      </c>
      <c r="AF209" s="199">
        <f t="shared" si="3407"/>
        <v>66.557582381733397</v>
      </c>
      <c r="AG209" s="199">
        <f t="shared" si="3407"/>
        <v>66.491024799351663</v>
      </c>
      <c r="AH209" s="199">
        <f t="shared" si="3407"/>
        <v>66.424533774552316</v>
      </c>
      <c r="AI209" s="199">
        <f t="shared" si="3407"/>
        <v>66.358109240777765</v>
      </c>
      <c r="AJ209" s="199">
        <f t="shared" si="3407"/>
        <v>66.291751131536984</v>
      </c>
      <c r="AK209" s="199">
        <f t="shared" si="3407"/>
        <v>66.225459380405454</v>
      </c>
      <c r="AL209" s="199">
        <f t="shared" si="3407"/>
        <v>66.159233921025049</v>
      </c>
      <c r="AM209" s="199">
        <f t="shared" si="3407"/>
        <v>66.093074687104021</v>
      </c>
      <c r="AN209" s="199">
        <f t="shared" si="3407"/>
        <v>66.026981612416918</v>
      </c>
      <c r="AO209" s="199">
        <f t="shared" si="3407"/>
        <v>65.960954630804508</v>
      </c>
      <c r="AP209" s="199">
        <f t="shared" si="3407"/>
        <v>65.894993676173698</v>
      </c>
      <c r="AQ209" s="199">
        <f t="shared" si="3407"/>
        <v>65.829098682497531</v>
      </c>
      <c r="AR209" s="199">
        <f t="shared" si="3407"/>
        <v>65.763269583815031</v>
      </c>
      <c r="AS209" s="199">
        <f t="shared" si="3407"/>
        <v>0</v>
      </c>
      <c r="AT209" s="199">
        <f t="shared" si="3407"/>
        <v>0</v>
      </c>
      <c r="AU209" s="199">
        <f t="shared" si="3407"/>
        <v>0</v>
      </c>
      <c r="AV209" s="199">
        <f t="shared" si="3407"/>
        <v>0</v>
      </c>
      <c r="AW209" s="199">
        <f t="shared" si="3407"/>
        <v>0</v>
      </c>
      <c r="AX209" s="199">
        <f t="shared" si="3407"/>
        <v>0</v>
      </c>
      <c r="AY209" s="199">
        <f t="shared" si="3407"/>
        <v>0</v>
      </c>
      <c r="AZ209" s="199">
        <f t="shared" si="3407"/>
        <v>0</v>
      </c>
      <c r="BA209" s="199">
        <f t="shared" si="3407"/>
        <v>0</v>
      </c>
      <c r="BB209" s="199">
        <f t="shared" si="3407"/>
        <v>0</v>
      </c>
      <c r="BC209" s="199">
        <f t="shared" si="3407"/>
        <v>0</v>
      </c>
      <c r="BD209" s="199">
        <f t="shared" si="3407"/>
        <v>0</v>
      </c>
      <c r="BE209" s="199">
        <f t="shared" si="3407"/>
        <v>0</v>
      </c>
      <c r="BF209" s="199">
        <f t="shared" si="3407"/>
        <v>0</v>
      </c>
      <c r="BG209" s="199">
        <f t="shared" si="3407"/>
        <v>0</v>
      </c>
      <c r="BH209" s="199">
        <f t="shared" si="3407"/>
        <v>0</v>
      </c>
      <c r="BI209" s="199">
        <f t="shared" si="3407"/>
        <v>0</v>
      </c>
      <c r="BJ209" s="199">
        <f t="shared" si="3407"/>
        <v>0</v>
      </c>
      <c r="BK209" s="199">
        <f t="shared" si="3407"/>
        <v>0</v>
      </c>
    </row>
    <row r="210" spans="1:63" ht="7.8" x14ac:dyDescent="0.15">
      <c r="A210" s="207" t="s">
        <v>96</v>
      </c>
      <c r="B210" s="192"/>
      <c r="C210" s="192"/>
      <c r="D210" s="192"/>
      <c r="E210" s="192"/>
      <c r="F210" s="192"/>
      <c r="G210" s="192"/>
      <c r="H210" s="192"/>
      <c r="I210" s="192"/>
      <c r="J210" s="192"/>
      <c r="K210" s="192"/>
      <c r="L210" s="192"/>
      <c r="M210" s="192"/>
      <c r="N210" s="192"/>
      <c r="O210" s="192"/>
      <c r="P210" s="192"/>
      <c r="Q210" s="192"/>
      <c r="R210" s="192"/>
      <c r="S210" s="192"/>
      <c r="T210" s="192"/>
      <c r="U210" s="192"/>
      <c r="V210" s="192"/>
      <c r="W210" s="192"/>
      <c r="X210" s="192"/>
      <c r="Y210" s="192"/>
      <c r="Z210" s="223">
        <f>Z207*Z209</f>
        <v>43.011426820705118</v>
      </c>
      <c r="AA210" s="200">
        <f t="shared" ref="AA210" si="3408">AA207*AA209</f>
        <v>40.889211795787595</v>
      </c>
      <c r="AB210" s="200">
        <f t="shared" ref="AB210" si="3409">AB207*AB209</f>
        <v>38.739175855077889</v>
      </c>
      <c r="AC210" s="200">
        <f t="shared" ref="AC210" si="3410">AC207*AC209</f>
        <v>36.560915600979122</v>
      </c>
      <c r="AD210" s="200">
        <f t="shared" ref="AD210" si="3411">AD207*AD209</f>
        <v>20.612413097523842</v>
      </c>
      <c r="AE210" s="200">
        <f t="shared" ref="AE210" si="3412">AE207*AE209</f>
        <v>19.270847667096302</v>
      </c>
      <c r="AF210" s="200">
        <f t="shared" ref="AF210" si="3413">AF207*AF209</f>
        <v>17.911600427458374</v>
      </c>
      <c r="AG210" s="200">
        <f t="shared" ref="AG210" si="3414">AG207*AG209</f>
        <v>16.534415100045209</v>
      </c>
      <c r="AH210" s="200">
        <f t="shared" ref="AH210" si="3415">AH207*AH209</f>
        <v>15.139031717198705</v>
      </c>
      <c r="AI210" s="200">
        <f t="shared" ref="AI210" si="3416">AI207*AI209</f>
        <v>13.725186569038289</v>
      </c>
      <c r="AJ210" s="200">
        <f t="shared" ref="AJ210" si="3417">AJ207*AJ209</f>
        <v>12.292612149566605</v>
      </c>
      <c r="AK210" s="200">
        <f t="shared" ref="AK210" si="3418">AK207*AK209</f>
        <v>10.841037101999055</v>
      </c>
      <c r="AL210" s="200">
        <f t="shared" ref="AL210" si="3419">AL207*AL209</f>
        <v>9.3701861633060055</v>
      </c>
      <c r="AM210" s="200">
        <f t="shared" ref="AM210" si="3420">AM207*AM209</f>
        <v>7.8797801079563632</v>
      </c>
      <c r="AN210" s="200">
        <f t="shared" ref="AN210" si="3421">AN207*AN209</f>
        <v>6.3695356908509515</v>
      </c>
      <c r="AO210" s="200">
        <f t="shared" ref="AO210" si="3422">AO207*AO209</f>
        <v>4.839165589434085</v>
      </c>
      <c r="AP210" s="200">
        <f t="shared" ref="AP210" si="3423">AP207*AP209</f>
        <v>3.2883783449714734</v>
      </c>
      <c r="AQ210" s="200">
        <f t="shared" ref="AQ210" si="3424">AQ207*AQ209</f>
        <v>1.7168783029824524</v>
      </c>
      <c r="AR210" s="200">
        <f t="shared" ref="AR210" si="3425">AR207*AR209</f>
        <v>0.12436555281436608</v>
      </c>
      <c r="AS210" s="200">
        <f t="shared" ref="AS210" si="3426">AS207*AS209</f>
        <v>0</v>
      </c>
      <c r="AT210" s="200">
        <f t="shared" ref="AT210" si="3427">AT207*AT209</f>
        <v>0</v>
      </c>
      <c r="AU210" s="200">
        <f t="shared" ref="AU210" si="3428">AU207*AU209</f>
        <v>0</v>
      </c>
      <c r="AV210" s="200">
        <f t="shared" ref="AV210" si="3429">AV207*AV209</f>
        <v>0</v>
      </c>
      <c r="AW210" s="200">
        <f t="shared" ref="AW210" si="3430">AW207*AW209</f>
        <v>0</v>
      </c>
      <c r="AX210" s="200">
        <f t="shared" ref="AX210" si="3431">AX207*AX209</f>
        <v>0</v>
      </c>
      <c r="AY210" s="200">
        <f t="shared" ref="AY210" si="3432">AY207*AY209</f>
        <v>0</v>
      </c>
      <c r="AZ210" s="200">
        <f t="shared" ref="AZ210" si="3433">AZ207*AZ209</f>
        <v>0</v>
      </c>
      <c r="BA210" s="200">
        <f t="shared" ref="BA210" si="3434">BA207*BA209</f>
        <v>0</v>
      </c>
      <c r="BB210" s="200">
        <f t="shared" ref="BB210" si="3435">BB207*BB209</f>
        <v>0</v>
      </c>
      <c r="BC210" s="200">
        <f t="shared" ref="BC210" si="3436">BC207*BC209</f>
        <v>0</v>
      </c>
      <c r="BD210" s="200">
        <f t="shared" ref="BD210" si="3437">BD207*BD209</f>
        <v>0</v>
      </c>
      <c r="BE210" s="200">
        <f t="shared" ref="BE210" si="3438">BE207*BE209</f>
        <v>0</v>
      </c>
      <c r="BF210" s="200">
        <f t="shared" ref="BF210" si="3439">BF207*BF209</f>
        <v>0</v>
      </c>
      <c r="BG210" s="200">
        <f t="shared" ref="BG210" si="3440">BG207*BG209</f>
        <v>0</v>
      </c>
      <c r="BH210" s="200">
        <f t="shared" ref="BH210" si="3441">BH207*BH209</f>
        <v>0</v>
      </c>
      <c r="BI210" s="200">
        <f t="shared" ref="BI210" si="3442">BI207*BI209</f>
        <v>0</v>
      </c>
      <c r="BJ210" s="200">
        <f t="shared" ref="BJ210" si="3443">BJ207*BJ209</f>
        <v>0</v>
      </c>
      <c r="BK210" s="200">
        <f t="shared" ref="BK210" si="3444">BK207*BK209</f>
        <v>0</v>
      </c>
    </row>
    <row r="211" spans="1:63" ht="7.8" x14ac:dyDescent="0.15">
      <c r="A211" s="206" t="s">
        <v>97</v>
      </c>
      <c r="B211" s="192"/>
      <c r="C211" s="192"/>
      <c r="D211" s="192"/>
      <c r="E211" s="192"/>
      <c r="F211" s="192"/>
      <c r="G211" s="192"/>
      <c r="H211" s="192"/>
      <c r="I211" s="192"/>
      <c r="J211" s="192"/>
      <c r="K211" s="192"/>
      <c r="L211" s="192"/>
      <c r="M211" s="192"/>
      <c r="N211" s="192"/>
      <c r="O211" s="192"/>
      <c r="P211" s="192"/>
      <c r="Q211" s="192"/>
      <c r="R211" s="192"/>
      <c r="S211" s="192"/>
      <c r="T211" s="192"/>
      <c r="U211" s="192"/>
      <c r="V211" s="192"/>
      <c r="W211" s="192"/>
      <c r="X211" s="192"/>
      <c r="Y211" s="192"/>
      <c r="Z211" s="223">
        <f>Z208*Z209</f>
        <v>135.00226267977101</v>
      </c>
      <c r="AA211" s="200">
        <f>AA208*AA209</f>
        <v>136.94646401518807</v>
      </c>
      <c r="AB211" s="200">
        <f t="shared" ref="AB211:BK211" si="3445">AB208*AB209</f>
        <v>138.9186642800868</v>
      </c>
      <c r="AC211" s="200">
        <f t="shared" si="3445"/>
        <v>140.91926669405041</v>
      </c>
      <c r="AD211" s="200">
        <f t="shared" si="3445"/>
        <v>85.769208170116855</v>
      </c>
      <c r="AE211" s="200">
        <f t="shared" si="3445"/>
        <v>87.004391979276747</v>
      </c>
      <c r="AF211" s="200">
        <f t="shared" si="3445"/>
        <v>88.257363979268305</v>
      </c>
      <c r="AG211" s="200">
        <f t="shared" si="3445"/>
        <v>89.528380342274744</v>
      </c>
      <c r="AH211" s="200">
        <f t="shared" si="3445"/>
        <v>90.817700929678935</v>
      </c>
      <c r="AI211" s="200">
        <f t="shared" si="3445"/>
        <v>92.125589345192466</v>
      </c>
      <c r="AJ211" s="200">
        <f t="shared" si="3445"/>
        <v>93.45231298874991</v>
      </c>
      <c r="AK211" s="200">
        <f t="shared" si="3445"/>
        <v>94.798143111179172</v>
      </c>
      <c r="AL211" s="200">
        <f t="shared" si="3445"/>
        <v>96.163354869659031</v>
      </c>
      <c r="AM211" s="200">
        <f t="shared" si="3445"/>
        <v>97.548227383975714</v>
      </c>
      <c r="AN211" s="200">
        <f t="shared" si="3445"/>
        <v>98.953043793589202</v>
      </c>
      <c r="AO211" s="200">
        <f t="shared" si="3445"/>
        <v>100.37809131552163</v>
      </c>
      <c r="AP211" s="200">
        <f t="shared" si="3445"/>
        <v>101.82366130307928</v>
      </c>
      <c r="AQ211" s="200">
        <f t="shared" si="3445"/>
        <v>103.29004930542027</v>
      </c>
      <c r="AR211" s="200">
        <f t="shared" si="3445"/>
        <v>104.77755512797994</v>
      </c>
      <c r="AS211" s="200">
        <f t="shared" si="3445"/>
        <v>0</v>
      </c>
      <c r="AT211" s="200">
        <f t="shared" si="3445"/>
        <v>0</v>
      </c>
      <c r="AU211" s="200">
        <f t="shared" si="3445"/>
        <v>0</v>
      </c>
      <c r="AV211" s="200">
        <f t="shared" si="3445"/>
        <v>0</v>
      </c>
      <c r="AW211" s="200">
        <f t="shared" si="3445"/>
        <v>0</v>
      </c>
      <c r="AX211" s="200">
        <f t="shared" si="3445"/>
        <v>0</v>
      </c>
      <c r="AY211" s="200">
        <f t="shared" si="3445"/>
        <v>0</v>
      </c>
      <c r="AZ211" s="200">
        <f t="shared" si="3445"/>
        <v>0</v>
      </c>
      <c r="BA211" s="200">
        <f t="shared" si="3445"/>
        <v>0</v>
      </c>
      <c r="BB211" s="200">
        <f t="shared" si="3445"/>
        <v>0</v>
      </c>
      <c r="BC211" s="200">
        <f t="shared" si="3445"/>
        <v>0</v>
      </c>
      <c r="BD211" s="200">
        <f t="shared" si="3445"/>
        <v>0</v>
      </c>
      <c r="BE211" s="200">
        <f t="shared" si="3445"/>
        <v>0</v>
      </c>
      <c r="BF211" s="200">
        <f t="shared" si="3445"/>
        <v>0</v>
      </c>
      <c r="BG211" s="200">
        <f t="shared" si="3445"/>
        <v>0</v>
      </c>
      <c r="BH211" s="200">
        <f t="shared" si="3445"/>
        <v>0</v>
      </c>
      <c r="BI211" s="200">
        <f t="shared" si="3445"/>
        <v>0</v>
      </c>
      <c r="BJ211" s="200">
        <f t="shared" si="3445"/>
        <v>0</v>
      </c>
      <c r="BK211" s="200">
        <f t="shared" si="3445"/>
        <v>0</v>
      </c>
    </row>
    <row r="212" spans="1:63" ht="7.8" x14ac:dyDescent="0.15">
      <c r="A212" s="208" t="s">
        <v>203</v>
      </c>
      <c r="B212" s="192"/>
      <c r="C212" s="192"/>
      <c r="D212" s="192"/>
      <c r="E212" s="192"/>
      <c r="F212" s="192"/>
      <c r="G212" s="192"/>
      <c r="H212" s="192"/>
      <c r="I212" s="192"/>
      <c r="J212" s="192"/>
      <c r="K212" s="192"/>
      <c r="L212" s="192"/>
      <c r="M212" s="192"/>
      <c r="N212" s="192"/>
      <c r="O212" s="192"/>
      <c r="P212" s="192"/>
      <c r="Q212" s="192"/>
      <c r="R212" s="192"/>
      <c r="S212" s="192"/>
      <c r="T212" s="192"/>
      <c r="U212" s="192"/>
      <c r="V212" s="192"/>
      <c r="W212" s="192"/>
      <c r="X212" s="192"/>
      <c r="Y212" s="192"/>
      <c r="Z212" s="224">
        <f>IF(Z204-101&lt;&gt;LoanSaleHeld,0,SUM($D211:Z211)*LoanSalePercent)</f>
        <v>0</v>
      </c>
      <c r="AA212" s="225">
        <f>IF(AA204-101&lt;&gt;LoanSaleHeld,0,SUM($D211:AA211)*LoanSalePercent)</f>
        <v>0</v>
      </c>
      <c r="AB212" s="225">
        <f>IF(AB204-101&lt;&gt;LoanSaleHeld,0,SUM($D211:AB211)*LoanSalePercent)</f>
        <v>0</v>
      </c>
      <c r="AC212" s="225">
        <f>IF(AC204-101&lt;&gt;LoanSaleHeld,0,SUM($D211:AC211)*LoanSalePercent)</f>
        <v>220.71466306763853</v>
      </c>
      <c r="AD212" s="225">
        <f>IF(AD204-101&lt;&gt;LoanSaleHeld,0,SUM($D211:AD211)*LoanSalePercent)</f>
        <v>0</v>
      </c>
      <c r="AE212" s="225">
        <f>IF(AE204-101&lt;&gt;LoanSaleHeld,0,SUM($D211:AE211)*LoanSalePercent)</f>
        <v>0</v>
      </c>
      <c r="AF212" s="225">
        <f>IF(AF204-101&lt;&gt;LoanSaleHeld,0,SUM($D211:AF211)*LoanSalePercent)</f>
        <v>0</v>
      </c>
      <c r="AG212" s="225">
        <f>IF(AG204-101&lt;&gt;LoanSaleHeld,0,SUM($D211:AG211)*LoanSalePercent)</f>
        <v>0</v>
      </c>
      <c r="AH212" s="225">
        <f>IF(AH204-101&lt;&gt;LoanSaleHeld,0,SUM($D211:AH211)*LoanSalePercent)</f>
        <v>0</v>
      </c>
      <c r="AI212" s="225">
        <f>IF(AI204-101&lt;&gt;LoanSaleHeld,0,SUM($D211:AI211)*LoanSalePercent)</f>
        <v>0</v>
      </c>
      <c r="AJ212" s="225">
        <f>IF(AJ204-101&lt;&gt;LoanSaleHeld,0,SUM($D211:AJ211)*LoanSalePercent)</f>
        <v>0</v>
      </c>
      <c r="AK212" s="225">
        <f>IF(AK204-101&lt;&gt;LoanSaleHeld,0,SUM($D211:AK211)*LoanSalePercent)</f>
        <v>0</v>
      </c>
      <c r="AL212" s="225">
        <f>IF(AL204-101&lt;&gt;LoanSaleHeld,0,SUM($D211:AL211)*LoanSalePercent)</f>
        <v>0</v>
      </c>
      <c r="AM212" s="225">
        <f>IF(AM204-101&lt;&gt;LoanSaleHeld,0,SUM($D211:AM211)*LoanSalePercent)</f>
        <v>0</v>
      </c>
      <c r="AN212" s="225">
        <f>IF(AN204-101&lt;&gt;LoanSaleHeld,0,SUM($D211:AN211)*LoanSalePercent)</f>
        <v>0</v>
      </c>
      <c r="AO212" s="225">
        <f>IF(AO204-101&lt;&gt;LoanSaleHeld,0,SUM($D211:AO211)*LoanSalePercent)</f>
        <v>0</v>
      </c>
      <c r="AP212" s="225">
        <f>IF(AP204-101&lt;&gt;LoanSaleHeld,0,SUM($D211:AP211)*LoanSalePercent)</f>
        <v>0</v>
      </c>
      <c r="AQ212" s="225">
        <f>IF(AQ204-101&lt;&gt;LoanSaleHeld,0,SUM($D211:AQ211)*LoanSalePercent)</f>
        <v>0</v>
      </c>
      <c r="AR212" s="225">
        <f>IF(AR204-101&lt;&gt;LoanSaleHeld,0,SUM($D211:AR211)*LoanSalePercent)</f>
        <v>0</v>
      </c>
      <c r="AS212" s="225">
        <f>IF(AS204-101&lt;&gt;LoanSaleHeld,0,SUM($D211:AS211)*LoanSalePercent)</f>
        <v>0</v>
      </c>
      <c r="AT212" s="225">
        <f>IF(AT204-101&lt;&gt;LoanSaleHeld,0,SUM($D211:AT211)*LoanSalePercent)</f>
        <v>0</v>
      </c>
      <c r="AU212" s="225">
        <f>IF(AU204-101&lt;&gt;LoanSaleHeld,0,SUM($D211:AU211)*LoanSalePercent)</f>
        <v>0</v>
      </c>
      <c r="AV212" s="225">
        <f>IF(AV204-101&lt;&gt;LoanSaleHeld,0,SUM($D211:AV211)*LoanSalePercent)</f>
        <v>0</v>
      </c>
      <c r="AW212" s="225">
        <f>IF(AW204-101&lt;&gt;LoanSaleHeld,0,SUM($D211:AW211)*LoanSalePercent)</f>
        <v>0</v>
      </c>
      <c r="AX212" s="225">
        <f>IF(AX204-101&lt;&gt;LoanSaleHeld,0,SUM($D211:AX211)*LoanSalePercent)</f>
        <v>0</v>
      </c>
      <c r="AY212" s="225">
        <f>IF(AY204-101&lt;&gt;LoanSaleHeld,0,SUM($D211:AY211)*LoanSalePercent)</f>
        <v>0</v>
      </c>
      <c r="AZ212" s="225">
        <f>IF(AZ204-101&lt;&gt;LoanSaleHeld,0,SUM($D211:AZ211)*LoanSalePercent)</f>
        <v>0</v>
      </c>
      <c r="BA212" s="225">
        <f>IF(BA204-101&lt;&gt;LoanSaleHeld,0,SUM($D211:BA211)*LoanSalePercent)</f>
        <v>0</v>
      </c>
      <c r="BB212" s="225">
        <f>IF(BB204-101&lt;&gt;LoanSaleHeld,0,SUM($D211:BB211)*LoanSalePercent)</f>
        <v>0</v>
      </c>
      <c r="BC212" s="225">
        <f>IF(BC204-101&lt;&gt;LoanSaleHeld,0,SUM($D211:BC211)*LoanSalePercent)</f>
        <v>0</v>
      </c>
      <c r="BD212" s="225">
        <f>IF(BD204-101&lt;&gt;LoanSaleHeld,0,SUM($D211:BD211)*LoanSalePercent)</f>
        <v>0</v>
      </c>
      <c r="BE212" s="225">
        <f>IF(BE204-101&lt;&gt;LoanSaleHeld,0,SUM($D211:BE211)*LoanSalePercent)</f>
        <v>0</v>
      </c>
      <c r="BF212" s="225">
        <f>IF(BF204-101&lt;&gt;LoanSaleHeld,0,SUM($D211:BF211)*LoanSalePercent)</f>
        <v>0</v>
      </c>
      <c r="BG212" s="225">
        <f>IF(BG204-101&lt;&gt;LoanSaleHeld,0,SUM($D211:BG211)*LoanSalePercent)</f>
        <v>0</v>
      </c>
      <c r="BH212" s="225">
        <f>IF(BH204-101&lt;&gt;LoanSaleHeld,0,SUM($D211:BH211)*LoanSalePercent)</f>
        <v>0</v>
      </c>
      <c r="BI212" s="225">
        <f>IF(BI204-101&lt;&gt;LoanSaleHeld,0,SUM($D211:BI211)*LoanSalePercent)</f>
        <v>0</v>
      </c>
      <c r="BJ212" s="225">
        <f>IF(BJ204-101&lt;&gt;LoanSaleHeld,0,SUM($D211:BJ211)*LoanSalePercent)</f>
        <v>0</v>
      </c>
      <c r="BK212" s="225">
        <f>IF(BK204-101&lt;&gt;LoanSaleHeld,0,SUM($D211:BK211)*LoanSalePercent)</f>
        <v>0</v>
      </c>
    </row>
    <row r="213" spans="1:63" ht="7.8" x14ac:dyDescent="0.15">
      <c r="A213" s="204">
        <f t="shared" ref="A213" si="3446">A204+1</f>
        <v>24</v>
      </c>
      <c r="B213" s="192"/>
      <c r="C213" s="192"/>
      <c r="D213" s="192"/>
      <c r="E213" s="192"/>
      <c r="F213" s="192"/>
      <c r="G213" s="192"/>
      <c r="H213" s="192"/>
      <c r="I213" s="192"/>
      <c r="J213" s="192"/>
      <c r="K213" s="192"/>
      <c r="L213" s="192"/>
      <c r="M213" s="192"/>
      <c r="N213" s="192"/>
      <c r="O213" s="192"/>
      <c r="P213" s="192"/>
      <c r="Q213" s="192"/>
      <c r="R213" s="192"/>
      <c r="S213" s="192"/>
      <c r="T213" s="192"/>
      <c r="U213" s="192"/>
      <c r="V213" s="192"/>
      <c r="W213" s="192"/>
      <c r="X213" s="192"/>
      <c r="Y213" s="192"/>
      <c r="Z213" s="192"/>
      <c r="AA213" s="195">
        <v>101</v>
      </c>
      <c r="AB213" s="196">
        <f t="shared" ref="AB213" si="3447">IF(AB214=0,0,AA213+1)</f>
        <v>102</v>
      </c>
      <c r="AC213" s="196">
        <f t="shared" ref="AC213" si="3448">IF(AC214=0,0,AB213+1)</f>
        <v>103</v>
      </c>
      <c r="AD213" s="196">
        <f t="shared" ref="AD213" si="3449">IF(AD214=0,0,AC213+1)</f>
        <v>104</v>
      </c>
      <c r="AE213" s="196">
        <f t="shared" ref="AE213" si="3450">IF(AE214=0,0,AD213+1)</f>
        <v>105</v>
      </c>
      <c r="AF213" s="196">
        <f t="shared" ref="AF213" si="3451">IF(AF214=0,0,AE213+1)</f>
        <v>106</v>
      </c>
      <c r="AG213" s="196">
        <f t="shared" ref="AG213" si="3452">IF(AG214=0,0,AF213+1)</f>
        <v>107</v>
      </c>
      <c r="AH213" s="196">
        <f t="shared" ref="AH213" si="3453">IF(AH214=0,0,AG213+1)</f>
        <v>108</v>
      </c>
      <c r="AI213" s="196">
        <f t="shared" ref="AI213" si="3454">IF(AI214=0,0,AH213+1)</f>
        <v>109</v>
      </c>
      <c r="AJ213" s="196">
        <f t="shared" ref="AJ213" si="3455">IF(AJ214=0,0,AI213+1)</f>
        <v>110</v>
      </c>
      <c r="AK213" s="196">
        <f t="shared" ref="AK213" si="3456">IF(AK214=0,0,AJ213+1)</f>
        <v>111</v>
      </c>
      <c r="AL213" s="196">
        <f t="shared" ref="AL213" si="3457">IF(AL214=0,0,AK213+1)</f>
        <v>112</v>
      </c>
      <c r="AM213" s="196">
        <f t="shared" ref="AM213" si="3458">IF(AM214=0,0,AL213+1)</f>
        <v>113</v>
      </c>
      <c r="AN213" s="196">
        <f t="shared" ref="AN213" si="3459">IF(AN214=0,0,AM213+1)</f>
        <v>114</v>
      </c>
      <c r="AO213" s="196">
        <f t="shared" ref="AO213" si="3460">IF(AO214=0,0,AN213+1)</f>
        <v>115</v>
      </c>
      <c r="AP213" s="196">
        <f t="shared" ref="AP213" si="3461">IF(AP214=0,0,AO213+1)</f>
        <v>116</v>
      </c>
      <c r="AQ213" s="196">
        <f t="shared" ref="AQ213" si="3462">IF(AQ214=0,0,AP213+1)</f>
        <v>117</v>
      </c>
      <c r="AR213" s="196">
        <f t="shared" ref="AR213" si="3463">IF(AR214=0,0,AQ213+1)</f>
        <v>118</v>
      </c>
      <c r="AS213" s="196">
        <f t="shared" ref="AS213" si="3464">IF(AS214=0,0,AR213+1)</f>
        <v>119</v>
      </c>
      <c r="AT213" s="196">
        <f t="shared" ref="AT213" si="3465">IF(AT214=0,0,AS213+1)</f>
        <v>0</v>
      </c>
      <c r="AU213" s="196">
        <f t="shared" ref="AU213" si="3466">IF(AU214=0,0,AT213+1)</f>
        <v>0</v>
      </c>
      <c r="AV213" s="196">
        <f t="shared" ref="AV213" si="3467">IF(AV214=0,0,AU213+1)</f>
        <v>0</v>
      </c>
      <c r="AW213" s="196">
        <f t="shared" ref="AW213" si="3468">IF(AW214=0,0,AV213+1)</f>
        <v>0</v>
      </c>
      <c r="AX213" s="196">
        <f t="shared" ref="AX213" si="3469">IF(AX214=0,0,AW213+1)</f>
        <v>0</v>
      </c>
      <c r="AY213" s="196">
        <f t="shared" ref="AY213" si="3470">IF(AY214=0,0,AX213+1)</f>
        <v>0</v>
      </c>
      <c r="AZ213" s="196">
        <f t="shared" ref="AZ213" si="3471">IF(AZ214=0,0,AY213+1)</f>
        <v>0</v>
      </c>
      <c r="BA213" s="196">
        <f t="shared" ref="BA213" si="3472">IF(BA214=0,0,AZ213+1)</f>
        <v>0</v>
      </c>
      <c r="BB213" s="196">
        <f t="shared" ref="BB213" si="3473">IF(BB214=0,0,BA213+1)</f>
        <v>0</v>
      </c>
      <c r="BC213" s="196">
        <f t="shared" ref="BC213" si="3474">IF(BC214=0,0,BB213+1)</f>
        <v>0</v>
      </c>
      <c r="BD213" s="196">
        <f t="shared" ref="BD213" si="3475">IF(BD214=0,0,BC213+1)</f>
        <v>0</v>
      </c>
      <c r="BE213" s="196">
        <f t="shared" ref="BE213" si="3476">IF(BE214=0,0,BD213+1)</f>
        <v>0</v>
      </c>
      <c r="BF213" s="196">
        <f t="shared" ref="BF213" si="3477">IF(BF214=0,0,BE213+1)</f>
        <v>0</v>
      </c>
      <c r="BG213" s="196">
        <f t="shared" ref="BG213" si="3478">IF(BG214=0,0,BF213+1)</f>
        <v>0</v>
      </c>
      <c r="BH213" s="196">
        <f t="shared" ref="BH213" si="3479">IF(BH214=0,0,BG213+1)</f>
        <v>0</v>
      </c>
      <c r="BI213" s="196">
        <f t="shared" ref="BI213" si="3480">IF(BI214=0,0,BH213+1)</f>
        <v>0</v>
      </c>
      <c r="BJ213" s="196">
        <f t="shared" ref="BJ213" si="3481">IF(BJ214=0,0,BI213+1)</f>
        <v>0</v>
      </c>
      <c r="BK213" s="196">
        <f t="shared" ref="BK213" si="3482">IF(BK214=0,0,BJ213+1)</f>
        <v>0</v>
      </c>
    </row>
    <row r="214" spans="1:63" ht="7.8" x14ac:dyDescent="0.15">
      <c r="A214" s="216" t="s">
        <v>178</v>
      </c>
      <c r="B214" s="192"/>
      <c r="C214" s="192"/>
      <c r="D214" s="192"/>
      <c r="E214" s="192"/>
      <c r="F214" s="192"/>
      <c r="G214" s="192"/>
      <c r="H214" s="192"/>
      <c r="I214" s="192"/>
      <c r="J214" s="192"/>
      <c r="K214" s="192"/>
      <c r="L214" s="192"/>
      <c r="M214" s="192"/>
      <c r="N214" s="192"/>
      <c r="O214" s="192"/>
      <c r="P214" s="192"/>
      <c r="Q214" s="192"/>
      <c r="R214" s="192"/>
      <c r="S214" s="192"/>
      <c r="T214" s="192"/>
      <c r="U214" s="192"/>
      <c r="V214" s="192"/>
      <c r="W214" s="192"/>
      <c r="X214" s="192"/>
      <c r="Y214" s="192"/>
      <c r="Z214" s="192"/>
      <c r="AA214" s="217">
        <f>LoanSize</f>
        <v>25</v>
      </c>
      <c r="AB214" s="215">
        <f>IF(AA214-AA217&lt;=0.1,0,AA214-AA217)</f>
        <v>23.79027212253634</v>
      </c>
      <c r="AC214" s="215">
        <f t="shared" ref="AC214:BK214" si="3483">IF(AB214-AB217&lt;=0.1,0,AB214-AB217)</f>
        <v>22.56189427362845</v>
      </c>
      <c r="AD214" s="215">
        <f t="shared" si="3483"/>
        <v>21.314578932883229</v>
      </c>
      <c r="AE214" s="215">
        <f t="shared" si="3483"/>
        <v>20.048034147301522</v>
      </c>
      <c r="AF214" s="215">
        <f t="shared" si="3483"/>
        <v>18.761963462942095</v>
      </c>
      <c r="AG214" s="215">
        <f t="shared" si="3483"/>
        <v>17.456065855532128</v>
      </c>
      <c r="AH214" s="215">
        <f t="shared" si="3483"/>
        <v>16.130035660007923</v>
      </c>
      <c r="AI214" s="215">
        <f t="shared" si="3483"/>
        <v>14.783562498969387</v>
      </c>
      <c r="AJ214" s="215">
        <f t="shared" si="3483"/>
        <v>13.416331210031506</v>
      </c>
      <c r="AK214" s="215">
        <f t="shared" si="3483"/>
        <v>12.028021772055833</v>
      </c>
      <c r="AL214" s="215">
        <f t="shared" si="3483"/>
        <v>10.618309230244702</v>
      </c>
      <c r="AM214" s="215">
        <f t="shared" si="3483"/>
        <v>9.1868636200806488</v>
      </c>
      <c r="AN214" s="215">
        <f t="shared" si="3483"/>
        <v>7.7333498900932334</v>
      </c>
      <c r="AO214" s="215">
        <f t="shared" si="3483"/>
        <v>6.2574278234351794</v>
      </c>
      <c r="AP214" s="215">
        <f t="shared" si="3483"/>
        <v>4.7587519582494799</v>
      </c>
      <c r="AQ214" s="215">
        <f t="shared" si="3483"/>
        <v>3.2369715068088345</v>
      </c>
      <c r="AR214" s="215">
        <f t="shared" si="3483"/>
        <v>1.6917302734084789</v>
      </c>
      <c r="AS214" s="215">
        <f t="shared" si="3483"/>
        <v>0.12266657099320111</v>
      </c>
      <c r="AT214" s="215">
        <f t="shared" si="3483"/>
        <v>0</v>
      </c>
      <c r="AU214" s="215">
        <f t="shared" si="3483"/>
        <v>0</v>
      </c>
      <c r="AV214" s="215">
        <f t="shared" si="3483"/>
        <v>0</v>
      </c>
      <c r="AW214" s="215">
        <f t="shared" si="3483"/>
        <v>0</v>
      </c>
      <c r="AX214" s="215">
        <f t="shared" si="3483"/>
        <v>0</v>
      </c>
      <c r="AY214" s="215">
        <f t="shared" si="3483"/>
        <v>0</v>
      </c>
      <c r="AZ214" s="215">
        <f t="shared" si="3483"/>
        <v>0</v>
      </c>
      <c r="BA214" s="215">
        <f t="shared" si="3483"/>
        <v>0</v>
      </c>
      <c r="BB214" s="215">
        <f t="shared" si="3483"/>
        <v>0</v>
      </c>
      <c r="BC214" s="215">
        <f t="shared" si="3483"/>
        <v>0</v>
      </c>
      <c r="BD214" s="215">
        <f t="shared" si="3483"/>
        <v>0</v>
      </c>
      <c r="BE214" s="215">
        <f t="shared" si="3483"/>
        <v>0</v>
      </c>
      <c r="BF214" s="215">
        <f t="shared" si="3483"/>
        <v>0</v>
      </c>
      <c r="BG214" s="215">
        <f t="shared" si="3483"/>
        <v>0</v>
      </c>
      <c r="BH214" s="215">
        <f t="shared" si="3483"/>
        <v>0</v>
      </c>
      <c r="BI214" s="215">
        <f t="shared" si="3483"/>
        <v>0</v>
      </c>
      <c r="BJ214" s="215">
        <f t="shared" si="3483"/>
        <v>0</v>
      </c>
      <c r="BK214" s="215">
        <f t="shared" si="3483"/>
        <v>0</v>
      </c>
    </row>
    <row r="215" spans="1:63" ht="7.8" x14ac:dyDescent="0.15">
      <c r="A215" s="218" t="s">
        <v>179</v>
      </c>
      <c r="B215" s="192"/>
      <c r="C215" s="192"/>
      <c r="D215" s="192"/>
      <c r="E215" s="192"/>
      <c r="F215" s="192"/>
      <c r="G215" s="192"/>
      <c r="H215" s="192"/>
      <c r="I215" s="192"/>
      <c r="J215" s="192"/>
      <c r="K215" s="192"/>
      <c r="L215" s="192"/>
      <c r="M215" s="192"/>
      <c r="N215" s="192"/>
      <c r="O215" s="192"/>
      <c r="P215" s="192"/>
      <c r="Q215" s="192"/>
      <c r="R215" s="192"/>
      <c r="S215" s="192"/>
      <c r="T215" s="192"/>
      <c r="U215" s="192"/>
      <c r="V215" s="192"/>
      <c r="W215" s="192"/>
      <c r="X215" s="192"/>
      <c r="Y215" s="192"/>
      <c r="Z215" s="192"/>
      <c r="AA215" s="219">
        <f>IF(AA214=0,0,PMT(INDEX(LoanCohortRate,1),LoanTerm, -LoanSize))</f>
        <v>1.5951445441303251</v>
      </c>
      <c r="AB215" s="222">
        <f t="shared" ref="AB215" si="3484">IF(AB214=0,0, AA215)</f>
        <v>1.5951445441303251</v>
      </c>
      <c r="AC215" s="222">
        <f t="shared" ref="AC215" si="3485">IF(AC214=0,0, AB215)</f>
        <v>1.5951445441303251</v>
      </c>
      <c r="AD215" s="222">
        <f t="shared" ref="AD215" si="3486">IF(AD214=0,0, AC215)</f>
        <v>1.5951445441303251</v>
      </c>
      <c r="AE215" s="222">
        <f t="shared" ref="AE215" si="3487">IF(AE214=0,0, AD215)</f>
        <v>1.5951445441303251</v>
      </c>
      <c r="AF215" s="222">
        <f t="shared" ref="AF215" si="3488">IF(AF214=0,0, AE215)</f>
        <v>1.5951445441303251</v>
      </c>
      <c r="AG215" s="222">
        <f t="shared" ref="AG215" si="3489">IF(AG214=0,0, AF215)</f>
        <v>1.5951445441303251</v>
      </c>
      <c r="AH215" s="222">
        <f t="shared" ref="AH215" si="3490">IF(AH214=0,0, AG215)</f>
        <v>1.5951445441303251</v>
      </c>
      <c r="AI215" s="222">
        <f t="shared" ref="AI215" si="3491">IF(AI214=0,0, AH215)</f>
        <v>1.5951445441303251</v>
      </c>
      <c r="AJ215" s="222">
        <f t="shared" ref="AJ215" si="3492">IF(AJ214=0,0, AI215)</f>
        <v>1.5951445441303251</v>
      </c>
      <c r="AK215" s="222">
        <f t="shared" ref="AK215" si="3493">IF(AK214=0,0, AJ215)</f>
        <v>1.5951445441303251</v>
      </c>
      <c r="AL215" s="222">
        <f t="shared" ref="AL215" si="3494">IF(AL214=0,0, AK215)</f>
        <v>1.5951445441303251</v>
      </c>
      <c r="AM215" s="222">
        <f t="shared" ref="AM215" si="3495">IF(AM214=0,0, AL215)</f>
        <v>1.5951445441303251</v>
      </c>
      <c r="AN215" s="222">
        <f t="shared" ref="AN215" si="3496">IF(AN214=0,0, AM215)</f>
        <v>1.5951445441303251</v>
      </c>
      <c r="AO215" s="222">
        <f t="shared" ref="AO215" si="3497">IF(AO214=0,0, AN215)</f>
        <v>1.5951445441303251</v>
      </c>
      <c r="AP215" s="222">
        <f t="shared" ref="AP215" si="3498">IF(AP214=0,0, AO215)</f>
        <v>1.5951445441303251</v>
      </c>
      <c r="AQ215" s="222">
        <f t="shared" ref="AQ215" si="3499">IF(AQ214=0,0, AP215)</f>
        <v>1.5951445441303251</v>
      </c>
      <c r="AR215" s="222">
        <f t="shared" ref="AR215" si="3500">IF(AR214=0,0, AQ215)</f>
        <v>1.5951445441303251</v>
      </c>
      <c r="AS215" s="222">
        <f t="shared" ref="AS215" si="3501">IF(AS214=0,0, AR215)</f>
        <v>1.5951445441303251</v>
      </c>
      <c r="AT215" s="222">
        <f t="shared" ref="AT215" si="3502">IF(AT214=0,0, AS215)</f>
        <v>0</v>
      </c>
      <c r="AU215" s="222">
        <f t="shared" ref="AU215" si="3503">IF(AU214=0,0, AT215)</f>
        <v>0</v>
      </c>
      <c r="AV215" s="222">
        <f t="shared" ref="AV215" si="3504">IF(AV214=0,0, AU215)</f>
        <v>0</v>
      </c>
      <c r="AW215" s="222">
        <f t="shared" ref="AW215" si="3505">IF(AW214=0,0, AV215)</f>
        <v>0</v>
      </c>
      <c r="AX215" s="222">
        <f t="shared" ref="AX215" si="3506">IF(AX214=0,0, AW215)</f>
        <v>0</v>
      </c>
      <c r="AY215" s="222">
        <f t="shared" ref="AY215" si="3507">IF(AY214=0,0, AX215)</f>
        <v>0</v>
      </c>
      <c r="AZ215" s="222">
        <f t="shared" ref="AZ215" si="3508">IF(AZ214=0,0, AY215)</f>
        <v>0</v>
      </c>
      <c r="BA215" s="222">
        <f t="shared" ref="BA215" si="3509">IF(BA214=0,0, AZ215)</f>
        <v>0</v>
      </c>
      <c r="BB215" s="222">
        <f t="shared" ref="BB215" si="3510">IF(BB214=0,0, BA215)</f>
        <v>0</v>
      </c>
      <c r="BC215" s="222">
        <f t="shared" ref="BC215" si="3511">IF(BC214=0,0, BB215)</f>
        <v>0</v>
      </c>
      <c r="BD215" s="222">
        <f t="shared" ref="BD215" si="3512">IF(BD214=0,0, BC215)</f>
        <v>0</v>
      </c>
      <c r="BE215" s="222">
        <f t="shared" ref="BE215" si="3513">IF(BE214=0,0, BD215)</f>
        <v>0</v>
      </c>
      <c r="BF215" s="222">
        <f t="shared" ref="BF215" si="3514">IF(BF214=0,0, BE215)</f>
        <v>0</v>
      </c>
      <c r="BG215" s="222">
        <f t="shared" ref="BG215" si="3515">IF(BG214=0,0, BF215)</f>
        <v>0</v>
      </c>
      <c r="BH215" s="222">
        <f t="shared" ref="BH215" si="3516">IF(BH214=0,0, BG215)</f>
        <v>0</v>
      </c>
      <c r="BI215" s="222">
        <f t="shared" ref="BI215" si="3517">IF(BI214=0,0, BH215)</f>
        <v>0</v>
      </c>
      <c r="BJ215" s="222">
        <f t="shared" ref="BJ215" si="3518">IF(BJ214=0,0, BI215)</f>
        <v>0</v>
      </c>
      <c r="BK215" s="222">
        <f t="shared" ref="BK215" si="3519">IF(BK214=0,0, BJ215)</f>
        <v>0</v>
      </c>
    </row>
    <row r="216" spans="1:63" ht="7.8" x14ac:dyDescent="0.15">
      <c r="A216" s="218" t="s">
        <v>180</v>
      </c>
      <c r="B216" s="192"/>
      <c r="C216" s="192"/>
      <c r="D216" s="192"/>
      <c r="E216" s="192"/>
      <c r="F216" s="192"/>
      <c r="G216" s="192"/>
      <c r="H216" s="192"/>
      <c r="I216" s="192"/>
      <c r="J216" s="192"/>
      <c r="K216" s="192"/>
      <c r="L216" s="192"/>
      <c r="M216" s="192"/>
      <c r="N216" s="192"/>
      <c r="O216" s="192"/>
      <c r="P216" s="192"/>
      <c r="Q216" s="192"/>
      <c r="R216" s="192"/>
      <c r="S216" s="192"/>
      <c r="T216" s="192"/>
      <c r="U216" s="192"/>
      <c r="V216" s="192"/>
      <c r="W216" s="192"/>
      <c r="X216" s="192"/>
      <c r="Y216" s="192"/>
      <c r="Z216" s="192"/>
      <c r="AA216" s="220" cm="1">
        <f t="array" ref="AA216">AA214*INDEX(LoanCohortRate,$A213)</f>
        <v>0.38541666666666669</v>
      </c>
      <c r="AB216" s="221" cm="1">
        <f t="array" ref="AB216">AB214*INDEX(LoanCohortRate,$A213)</f>
        <v>0.36676669522243527</v>
      </c>
      <c r="AC216" s="221" cm="1">
        <f t="array" ref="AC216">AC214*INDEX(LoanCohortRate,$A213)</f>
        <v>0.34782920338510526</v>
      </c>
      <c r="AD216" s="221" cm="1">
        <f t="array" ref="AD216">AD214*INDEX(LoanCohortRate,$A213)</f>
        <v>0.32859975854861645</v>
      </c>
      <c r="AE216" s="221" cm="1">
        <f t="array" ref="AE216">AE214*INDEX(LoanCohortRate,$A213)</f>
        <v>0.30907385977089846</v>
      </c>
      <c r="AF216" s="221" cm="1">
        <f t="array" ref="AF216">AF214*INDEX(LoanCohortRate,$A213)</f>
        <v>0.28924693672035728</v>
      </c>
      <c r="AG216" s="221" cm="1">
        <f t="array" ref="AG216">AG214*INDEX(LoanCohortRate,$A213)</f>
        <v>0.26911434860612032</v>
      </c>
      <c r="AH216" s="221" cm="1">
        <f t="array" ref="AH216">AH214*INDEX(LoanCohortRate,$A213)</f>
        <v>0.24867138309178882</v>
      </c>
      <c r="AI216" s="221" cm="1">
        <f t="array" ref="AI216">AI214*INDEX(LoanCohortRate,$A213)</f>
        <v>0.22791325519244471</v>
      </c>
      <c r="AJ216" s="221" cm="1">
        <f t="array" ref="AJ216">AJ214*INDEX(LoanCohortRate,$A213)</f>
        <v>0.20683510615465239</v>
      </c>
      <c r="AK216" s="221" cm="1">
        <f t="array" ref="AK216">AK214*INDEX(LoanCohortRate,$A213)</f>
        <v>0.1854320023191941</v>
      </c>
      <c r="AL216" s="221" cm="1">
        <f t="array" ref="AL216">AL214*INDEX(LoanCohortRate,$A213)</f>
        <v>0.1636989339662725</v>
      </c>
      <c r="AM216" s="221" cm="1">
        <f t="array" ref="AM216">AM214*INDEX(LoanCohortRate,$A213)</f>
        <v>0.14163081414291001</v>
      </c>
      <c r="AN216" s="221" cm="1">
        <f t="array" ref="AN216">AN214*INDEX(LoanCohortRate,$A213)</f>
        <v>0.11922247747227069</v>
      </c>
      <c r="AO216" s="221" cm="1">
        <f t="array" ref="AO216">AO214*INDEX(LoanCohortRate,$A213)</f>
        <v>9.6468678944625685E-2</v>
      </c>
      <c r="AP216" s="221" cm="1">
        <f t="array" ref="AP216">AP214*INDEX(LoanCohortRate,$A213)</f>
        <v>7.3364092689679486E-2</v>
      </c>
      <c r="AQ216" s="221" cm="1">
        <f t="array" ref="AQ216">AQ214*INDEX(LoanCohortRate,$A213)</f>
        <v>4.9903310729969536E-2</v>
      </c>
      <c r="AR216" s="221" cm="1">
        <f t="array" ref="AR216">AR214*INDEX(LoanCohortRate,$A213)</f>
        <v>2.6080841715047383E-2</v>
      </c>
      <c r="AS216" s="221" cm="1">
        <f t="array" ref="AS216">AS214*INDEX(LoanCohortRate,$A213)</f>
        <v>1.8911096361451838E-3</v>
      </c>
      <c r="AT216" s="221" cm="1">
        <f t="array" ref="AT216">AT214*INDEX(LoanCohortRate,$A213)</f>
        <v>0</v>
      </c>
      <c r="AU216" s="221" cm="1">
        <f t="array" ref="AU216">AU214*INDEX(LoanCohortRate,$A213)</f>
        <v>0</v>
      </c>
      <c r="AV216" s="221" cm="1">
        <f t="array" ref="AV216">AV214*INDEX(LoanCohortRate,$A213)</f>
        <v>0</v>
      </c>
      <c r="AW216" s="221" cm="1">
        <f t="array" ref="AW216">AW214*INDEX(LoanCohortRate,$A213)</f>
        <v>0</v>
      </c>
      <c r="AX216" s="221" cm="1">
        <f t="array" ref="AX216">AX214*INDEX(LoanCohortRate,$A213)</f>
        <v>0</v>
      </c>
      <c r="AY216" s="221" cm="1">
        <f t="array" ref="AY216">AY214*INDEX(LoanCohortRate,$A213)</f>
        <v>0</v>
      </c>
      <c r="AZ216" s="221" cm="1">
        <f t="array" ref="AZ216">AZ214*INDEX(LoanCohortRate,$A213)</f>
        <v>0</v>
      </c>
      <c r="BA216" s="221" cm="1">
        <f t="array" ref="BA216">BA214*INDEX(LoanCohortRate,$A213)</f>
        <v>0</v>
      </c>
      <c r="BB216" s="221" cm="1">
        <f t="array" ref="BB216">BB214*INDEX(LoanCohortRate,$A213)</f>
        <v>0</v>
      </c>
      <c r="BC216" s="221" cm="1">
        <f t="array" ref="BC216">BC214*INDEX(LoanCohortRate,$A213)</f>
        <v>0</v>
      </c>
      <c r="BD216" s="221" cm="1">
        <f t="array" ref="BD216">BD214*INDEX(LoanCohortRate,$A213)</f>
        <v>0</v>
      </c>
      <c r="BE216" s="221" cm="1">
        <f t="array" ref="BE216">BE214*INDEX(LoanCohortRate,$A213)</f>
        <v>0</v>
      </c>
      <c r="BF216" s="221" cm="1">
        <f t="array" ref="BF216">BF214*INDEX(LoanCohortRate,$A213)</f>
        <v>0</v>
      </c>
      <c r="BG216" s="221" cm="1">
        <f t="array" ref="BG216">BG214*INDEX(LoanCohortRate,$A213)</f>
        <v>0</v>
      </c>
      <c r="BH216" s="221" cm="1">
        <f t="array" ref="BH216">BH214*INDEX(LoanCohortRate,$A213)</f>
        <v>0</v>
      </c>
      <c r="BI216" s="221" cm="1">
        <f t="array" ref="BI216">BI214*INDEX(LoanCohortRate,$A213)</f>
        <v>0</v>
      </c>
      <c r="BJ216" s="221" cm="1">
        <f t="array" ref="BJ216">BJ214*INDEX(LoanCohortRate,$A213)</f>
        <v>0</v>
      </c>
      <c r="BK216" s="221" cm="1">
        <f t="array" ref="BK216">BK214*INDEX(LoanCohortRate,$A213)</f>
        <v>0</v>
      </c>
    </row>
    <row r="217" spans="1:63" ht="7.8" x14ac:dyDescent="0.15">
      <c r="A217" s="218" t="s">
        <v>177</v>
      </c>
      <c r="B217" s="192"/>
      <c r="C217" s="192"/>
      <c r="D217" s="192"/>
      <c r="E217" s="192"/>
      <c r="F217" s="192"/>
      <c r="G217" s="192"/>
      <c r="H217" s="192"/>
      <c r="I217" s="192"/>
      <c r="J217" s="192"/>
      <c r="K217" s="192"/>
      <c r="L217" s="192"/>
      <c r="M217" s="192"/>
      <c r="N217" s="192"/>
      <c r="O217" s="192"/>
      <c r="P217" s="192"/>
      <c r="Q217" s="192"/>
      <c r="R217" s="192"/>
      <c r="S217" s="192"/>
      <c r="T217" s="192"/>
      <c r="U217" s="192"/>
      <c r="V217" s="192"/>
      <c r="W217" s="192"/>
      <c r="X217" s="192"/>
      <c r="Y217" s="192"/>
      <c r="Z217" s="192"/>
      <c r="AA217" s="219">
        <f>AA215-AA216</f>
        <v>1.2097278774636584</v>
      </c>
      <c r="AB217" s="222">
        <f t="shared" ref="AB217:BK217" si="3520">AB215-AB216</f>
        <v>1.2283778489078898</v>
      </c>
      <c r="AC217" s="222">
        <f t="shared" si="3520"/>
        <v>1.24731534074522</v>
      </c>
      <c r="AD217" s="222">
        <f t="shared" si="3520"/>
        <v>1.2665447855817087</v>
      </c>
      <c r="AE217" s="222">
        <f t="shared" si="3520"/>
        <v>1.2860706843594267</v>
      </c>
      <c r="AF217" s="222">
        <f t="shared" si="3520"/>
        <v>1.305897607409968</v>
      </c>
      <c r="AG217" s="222">
        <f t="shared" si="3520"/>
        <v>1.3260301955242049</v>
      </c>
      <c r="AH217" s="222">
        <f t="shared" si="3520"/>
        <v>1.3464731610385363</v>
      </c>
      <c r="AI217" s="222">
        <f t="shared" si="3520"/>
        <v>1.3672312889378804</v>
      </c>
      <c r="AJ217" s="222">
        <f t="shared" si="3520"/>
        <v>1.3883094379756726</v>
      </c>
      <c r="AK217" s="222">
        <f t="shared" si="3520"/>
        <v>1.4097125418111309</v>
      </c>
      <c r="AL217" s="222">
        <f t="shared" si="3520"/>
        <v>1.4314456101640527</v>
      </c>
      <c r="AM217" s="222">
        <f t="shared" si="3520"/>
        <v>1.453513729987415</v>
      </c>
      <c r="AN217" s="222">
        <f t="shared" si="3520"/>
        <v>1.4759220666580544</v>
      </c>
      <c r="AO217" s="222">
        <f t="shared" si="3520"/>
        <v>1.4986758651856995</v>
      </c>
      <c r="AP217" s="222">
        <f t="shared" si="3520"/>
        <v>1.5217804514406457</v>
      </c>
      <c r="AQ217" s="222">
        <f t="shared" si="3520"/>
        <v>1.5452412334003556</v>
      </c>
      <c r="AR217" s="222">
        <f t="shared" si="3520"/>
        <v>1.5690637024152778</v>
      </c>
      <c r="AS217" s="222">
        <f t="shared" si="3520"/>
        <v>1.59325343449418</v>
      </c>
      <c r="AT217" s="222">
        <f t="shared" si="3520"/>
        <v>0</v>
      </c>
      <c r="AU217" s="222">
        <f t="shared" si="3520"/>
        <v>0</v>
      </c>
      <c r="AV217" s="222">
        <f t="shared" si="3520"/>
        <v>0</v>
      </c>
      <c r="AW217" s="222">
        <f t="shared" si="3520"/>
        <v>0</v>
      </c>
      <c r="AX217" s="222">
        <f t="shared" si="3520"/>
        <v>0</v>
      </c>
      <c r="AY217" s="222">
        <f t="shared" si="3520"/>
        <v>0</v>
      </c>
      <c r="AZ217" s="222">
        <f t="shared" si="3520"/>
        <v>0</v>
      </c>
      <c r="BA217" s="222">
        <f t="shared" si="3520"/>
        <v>0</v>
      </c>
      <c r="BB217" s="222">
        <f t="shared" si="3520"/>
        <v>0</v>
      </c>
      <c r="BC217" s="222">
        <f t="shared" si="3520"/>
        <v>0</v>
      </c>
      <c r="BD217" s="222">
        <f t="shared" si="3520"/>
        <v>0</v>
      </c>
      <c r="BE217" s="222">
        <f t="shared" si="3520"/>
        <v>0</v>
      </c>
      <c r="BF217" s="222">
        <f t="shared" si="3520"/>
        <v>0</v>
      </c>
      <c r="BG217" s="222">
        <f t="shared" si="3520"/>
        <v>0</v>
      </c>
      <c r="BH217" s="222">
        <f t="shared" si="3520"/>
        <v>0</v>
      </c>
      <c r="BI217" s="222">
        <f t="shared" si="3520"/>
        <v>0</v>
      </c>
      <c r="BJ217" s="222">
        <f t="shared" si="3520"/>
        <v>0</v>
      </c>
      <c r="BK217" s="222">
        <f t="shared" si="3520"/>
        <v>0</v>
      </c>
    </row>
    <row r="218" spans="1:63" ht="7.8" x14ac:dyDescent="0.15">
      <c r="A218" s="205" t="s">
        <v>7</v>
      </c>
      <c r="B218" s="192"/>
      <c r="C218" s="192"/>
      <c r="D218" s="192"/>
      <c r="E218" s="192"/>
      <c r="F218" s="192"/>
      <c r="G218" s="192"/>
      <c r="H218" s="192"/>
      <c r="I218" s="192"/>
      <c r="J218" s="192"/>
      <c r="K218" s="192"/>
      <c r="L218" s="192"/>
      <c r="M218" s="192"/>
      <c r="N218" s="192"/>
      <c r="O218" s="192"/>
      <c r="P218" s="192"/>
      <c r="Q218" s="192"/>
      <c r="R218" s="192"/>
      <c r="S218" s="192"/>
      <c r="T218" s="192"/>
      <c r="U218" s="192"/>
      <c r="V218" s="192"/>
      <c r="W218" s="192"/>
      <c r="X218" s="192"/>
      <c r="Y218" s="192"/>
      <c r="Z218" s="192"/>
      <c r="AA218" s="214" cm="1">
        <f t="array" ref="AA218">INDEX(LoanOriginations,$A213)</f>
        <v>112.15520161247647</v>
      </c>
      <c r="AB218" s="199">
        <f t="shared" ref="AB218:BK218" si="3521">AA218*(1-MitigateDelinquency*MitigateChargeoff)  *  IF(AB213=0,0,IF(AB213-102=LoanSaleHeld,0.6,1))</f>
        <v>112.04304641086399</v>
      </c>
      <c r="AC218" s="199">
        <f t="shared" si="3521"/>
        <v>111.93100336445313</v>
      </c>
      <c r="AD218" s="199">
        <f t="shared" si="3521"/>
        <v>111.81907236108869</v>
      </c>
      <c r="AE218" s="199">
        <f t="shared" si="3521"/>
        <v>67.024351973236563</v>
      </c>
      <c r="AF218" s="199">
        <f t="shared" si="3521"/>
        <v>66.957327621263332</v>
      </c>
      <c r="AG218" s="199">
        <f t="shared" si="3521"/>
        <v>66.890370293642064</v>
      </c>
      <c r="AH218" s="199">
        <f t="shared" si="3521"/>
        <v>66.823479923348415</v>
      </c>
      <c r="AI218" s="199">
        <f t="shared" si="3521"/>
        <v>66.756656443425072</v>
      </c>
      <c r="AJ218" s="199">
        <f t="shared" si="3521"/>
        <v>66.689899786981641</v>
      </c>
      <c r="AK218" s="199">
        <f t="shared" si="3521"/>
        <v>66.623209887194662</v>
      </c>
      <c r="AL218" s="199">
        <f t="shared" si="3521"/>
        <v>66.556586677307465</v>
      </c>
      <c r="AM218" s="199">
        <f t="shared" si="3521"/>
        <v>66.490030090630157</v>
      </c>
      <c r="AN218" s="199">
        <f t="shared" si="3521"/>
        <v>66.423540060539523</v>
      </c>
      <c r="AO218" s="199">
        <f t="shared" si="3521"/>
        <v>66.357116520478982</v>
      </c>
      <c r="AP218" s="199">
        <f t="shared" si="3521"/>
        <v>66.290759403958504</v>
      </c>
      <c r="AQ218" s="199">
        <f t="shared" si="3521"/>
        <v>66.224468644554548</v>
      </c>
      <c r="AR218" s="199">
        <f t="shared" si="3521"/>
        <v>66.158244175909999</v>
      </c>
      <c r="AS218" s="199">
        <f t="shared" si="3521"/>
        <v>66.09208593173409</v>
      </c>
      <c r="AT218" s="199">
        <f t="shared" si="3521"/>
        <v>0</v>
      </c>
      <c r="AU218" s="199">
        <f t="shared" si="3521"/>
        <v>0</v>
      </c>
      <c r="AV218" s="199">
        <f t="shared" si="3521"/>
        <v>0</v>
      </c>
      <c r="AW218" s="199">
        <f t="shared" si="3521"/>
        <v>0</v>
      </c>
      <c r="AX218" s="199">
        <f t="shared" si="3521"/>
        <v>0</v>
      </c>
      <c r="AY218" s="199">
        <f t="shared" si="3521"/>
        <v>0</v>
      </c>
      <c r="AZ218" s="199">
        <f t="shared" si="3521"/>
        <v>0</v>
      </c>
      <c r="BA218" s="199">
        <f t="shared" si="3521"/>
        <v>0</v>
      </c>
      <c r="BB218" s="199">
        <f t="shared" si="3521"/>
        <v>0</v>
      </c>
      <c r="BC218" s="199">
        <f t="shared" si="3521"/>
        <v>0</v>
      </c>
      <c r="BD218" s="199">
        <f t="shared" si="3521"/>
        <v>0</v>
      </c>
      <c r="BE218" s="199">
        <f t="shared" si="3521"/>
        <v>0</v>
      </c>
      <c r="BF218" s="199">
        <f t="shared" si="3521"/>
        <v>0</v>
      </c>
      <c r="BG218" s="199">
        <f t="shared" si="3521"/>
        <v>0</v>
      </c>
      <c r="BH218" s="199">
        <f t="shared" si="3521"/>
        <v>0</v>
      </c>
      <c r="BI218" s="199">
        <f t="shared" si="3521"/>
        <v>0</v>
      </c>
      <c r="BJ218" s="199">
        <f t="shared" si="3521"/>
        <v>0</v>
      </c>
      <c r="BK218" s="199">
        <f t="shared" si="3521"/>
        <v>0</v>
      </c>
    </row>
    <row r="219" spans="1:63" ht="7.8" x14ac:dyDescent="0.15">
      <c r="A219" s="207" t="s">
        <v>96</v>
      </c>
      <c r="B219" s="192"/>
      <c r="C219" s="192"/>
      <c r="D219" s="192"/>
      <c r="E219" s="192"/>
      <c r="F219" s="192"/>
      <c r="G219" s="192"/>
      <c r="H219" s="192"/>
      <c r="I219" s="192"/>
      <c r="J219" s="192"/>
      <c r="K219" s="192"/>
      <c r="L219" s="192"/>
      <c r="M219" s="192"/>
      <c r="N219" s="192"/>
      <c r="O219" s="192"/>
      <c r="P219" s="192"/>
      <c r="Q219" s="192"/>
      <c r="R219" s="192"/>
      <c r="S219" s="192"/>
      <c r="T219" s="192"/>
      <c r="U219" s="192"/>
      <c r="V219" s="192"/>
      <c r="W219" s="192"/>
      <c r="X219" s="192"/>
      <c r="Y219" s="192"/>
      <c r="Z219" s="192"/>
      <c r="AA219" s="223">
        <f>AA216*AA218</f>
        <v>43.226483954808643</v>
      </c>
      <c r="AB219" s="200">
        <f t="shared" ref="AB219" si="3522">AB216*AB218</f>
        <v>41.093657854766526</v>
      </c>
      <c r="AC219" s="200">
        <f t="shared" ref="AC219" si="3523">AC216*AC218</f>
        <v>38.93287173435327</v>
      </c>
      <c r="AD219" s="200">
        <f t="shared" ref="AD219" si="3524">AD216*AD218</f>
        <v>36.743720178984013</v>
      </c>
      <c r="AE219" s="200">
        <f t="shared" ref="AE219" si="3525">AE216*AE218</f>
        <v>20.715475163011458</v>
      </c>
      <c r="AF219" s="200">
        <f t="shared" ref="AF219" si="3526">AF216*AF218</f>
        <v>19.367201905431784</v>
      </c>
      <c r="AG219" s="200">
        <f t="shared" ref="AG219" si="3527">AG216*AG218</f>
        <v>18.001158429595666</v>
      </c>
      <c r="AH219" s="200">
        <f t="shared" ref="AH219" si="3528">AH216*AH218</f>
        <v>16.617087175545432</v>
      </c>
      <c r="AI219" s="200">
        <f t="shared" ref="AI219" si="3529">AI216*AI218</f>
        <v>15.214726875784697</v>
      </c>
      <c r="AJ219" s="200">
        <f t="shared" ref="AJ219" si="3530">AJ216*AJ218</f>
        <v>13.793812501883478</v>
      </c>
      <c r="AK219" s="200">
        <f t="shared" ref="AK219" si="3531">AK216*AK218</f>
        <v>12.354075210314436</v>
      </c>
      <c r="AL219" s="200">
        <f t="shared" ref="AL219" si="3532">AL216*AL218</f>
        <v>10.895242287509047</v>
      </c>
      <c r="AM219" s="200">
        <f t="shared" ref="AM219" si="3533">AM216*AM218</f>
        <v>9.4170370941225343</v>
      </c>
      <c r="AN219" s="200">
        <f t="shared" ref="AN219" si="3534">AN216*AN218</f>
        <v>7.9191790084961431</v>
      </c>
      <c r="AO219" s="200">
        <f t="shared" ref="AO219" si="3535">AO216*AO218</f>
        <v>6.4013833693052042</v>
      </c>
      <c r="AP219" s="200">
        <f t="shared" ref="AP219" si="3536">AP216*AP218</f>
        <v>4.8633614173812534</v>
      </c>
      <c r="AQ219" s="200">
        <f t="shared" ref="AQ219" si="3537">AQ216*AQ218</f>
        <v>3.30482023669633</v>
      </c>
      <c r="AR219" s="200">
        <f t="shared" ref="AR219" si="3538">AR216*AR218</f>
        <v>1.7254626944973641</v>
      </c>
      <c r="AS219" s="200">
        <f t="shared" ref="AS219" si="3539">AS216*AS218</f>
        <v>0.12498738057843788</v>
      </c>
      <c r="AT219" s="200">
        <f t="shared" ref="AT219" si="3540">AT216*AT218</f>
        <v>0</v>
      </c>
      <c r="AU219" s="200">
        <f t="shared" ref="AU219" si="3541">AU216*AU218</f>
        <v>0</v>
      </c>
      <c r="AV219" s="200">
        <f t="shared" ref="AV219" si="3542">AV216*AV218</f>
        <v>0</v>
      </c>
      <c r="AW219" s="200">
        <f t="shared" ref="AW219" si="3543">AW216*AW218</f>
        <v>0</v>
      </c>
      <c r="AX219" s="200">
        <f t="shared" ref="AX219" si="3544">AX216*AX218</f>
        <v>0</v>
      </c>
      <c r="AY219" s="200">
        <f t="shared" ref="AY219" si="3545">AY216*AY218</f>
        <v>0</v>
      </c>
      <c r="AZ219" s="200">
        <f t="shared" ref="AZ219" si="3546">AZ216*AZ218</f>
        <v>0</v>
      </c>
      <c r="BA219" s="200">
        <f t="shared" ref="BA219" si="3547">BA216*BA218</f>
        <v>0</v>
      </c>
      <c r="BB219" s="200">
        <f t="shared" ref="BB219" si="3548">BB216*BB218</f>
        <v>0</v>
      </c>
      <c r="BC219" s="200">
        <f t="shared" ref="BC219" si="3549">BC216*BC218</f>
        <v>0</v>
      </c>
      <c r="BD219" s="200">
        <f t="shared" ref="BD219" si="3550">BD216*BD218</f>
        <v>0</v>
      </c>
      <c r="BE219" s="200">
        <f t="shared" ref="BE219" si="3551">BE216*BE218</f>
        <v>0</v>
      </c>
      <c r="BF219" s="200">
        <f t="shared" ref="BF219" si="3552">BF216*BF218</f>
        <v>0</v>
      </c>
      <c r="BG219" s="200">
        <f t="shared" ref="BG219" si="3553">BG216*BG218</f>
        <v>0</v>
      </c>
      <c r="BH219" s="200">
        <f t="shared" ref="BH219" si="3554">BH216*BH218</f>
        <v>0</v>
      </c>
      <c r="BI219" s="200">
        <f t="shared" ref="BI219" si="3555">BI216*BI218</f>
        <v>0</v>
      </c>
      <c r="BJ219" s="200">
        <f t="shared" ref="BJ219" si="3556">BJ216*BJ218</f>
        <v>0</v>
      </c>
      <c r="BK219" s="200">
        <f t="shared" ref="BK219" si="3557">BK216*BK218</f>
        <v>0</v>
      </c>
    </row>
    <row r="220" spans="1:63" ht="7.8" x14ac:dyDescent="0.15">
      <c r="A220" s="206" t="s">
        <v>97</v>
      </c>
      <c r="B220" s="192"/>
      <c r="C220" s="192"/>
      <c r="D220" s="192"/>
      <c r="E220" s="192"/>
      <c r="F220" s="192"/>
      <c r="G220" s="192"/>
      <c r="H220" s="192"/>
      <c r="I220" s="192"/>
      <c r="J220" s="192"/>
      <c r="K220" s="192"/>
      <c r="L220" s="192"/>
      <c r="M220" s="192"/>
      <c r="N220" s="192"/>
      <c r="O220" s="192"/>
      <c r="P220" s="192"/>
      <c r="Q220" s="192"/>
      <c r="R220" s="192"/>
      <c r="S220" s="192"/>
      <c r="T220" s="192"/>
      <c r="U220" s="192"/>
      <c r="V220" s="192"/>
      <c r="W220" s="192"/>
      <c r="X220" s="192"/>
      <c r="Y220" s="192"/>
      <c r="Z220" s="192"/>
      <c r="AA220" s="223">
        <f>AA217*AA218</f>
        <v>135.67727399316985</v>
      </c>
      <c r="AB220" s="200">
        <f>AB217*AB218</f>
        <v>137.63119633526398</v>
      </c>
      <c r="AC220" s="200">
        <f t="shared" ref="AC220:BK220" si="3558">AC217*AC218</f>
        <v>139.61325760148722</v>
      </c>
      <c r="AD220" s="200">
        <f t="shared" si="3558"/>
        <v>141.62386302752063</v>
      </c>
      <c r="AE220" s="200">
        <f t="shared" si="3558"/>
        <v>86.198054210967442</v>
      </c>
      <c r="AF220" s="200">
        <f t="shared" si="3558"/>
        <v>87.43941393917315</v>
      </c>
      <c r="AG220" s="200">
        <f t="shared" si="3558"/>
        <v>88.698650799164653</v>
      </c>
      <c r="AH220" s="200">
        <f t="shared" si="3558"/>
        <v>89.976022243986108</v>
      </c>
      <c r="AI220" s="200">
        <f t="shared" si="3558"/>
        <v>91.271789434327317</v>
      </c>
      <c r="AJ220" s="200">
        <f t="shared" si="3558"/>
        <v>92.586217291918416</v>
      </c>
      <c r="AK220" s="200">
        <f t="shared" si="3558"/>
        <v>93.91957455369365</v>
      </c>
      <c r="AL220" s="200">
        <f t="shared" si="3558"/>
        <v>95.272133826735043</v>
      </c>
      <c r="AM220" s="200">
        <f t="shared" si="3558"/>
        <v>96.644171644007301</v>
      </c>
      <c r="AN220" s="200">
        <f t="shared" si="3558"/>
        <v>98.035968520895551</v>
      </c>
      <c r="AO220" s="200">
        <f t="shared" si="3558"/>
        <v>99.447809012557116</v>
      </c>
      <c r="AP220" s="200">
        <f t="shared" si="3558"/>
        <v>100.8799817720992</v>
      </c>
      <c r="AQ220" s="200">
        <f t="shared" si="3558"/>
        <v>102.33277960959464</v>
      </c>
      <c r="AR220" s="200">
        <f t="shared" si="3558"/>
        <v>103.80649955194734</v>
      </c>
      <c r="AS220" s="200">
        <f t="shared" si="3558"/>
        <v>105.30144290361982</v>
      </c>
      <c r="AT220" s="200">
        <f t="shared" si="3558"/>
        <v>0</v>
      </c>
      <c r="AU220" s="200">
        <f t="shared" si="3558"/>
        <v>0</v>
      </c>
      <c r="AV220" s="200">
        <f t="shared" si="3558"/>
        <v>0</v>
      </c>
      <c r="AW220" s="200">
        <f t="shared" si="3558"/>
        <v>0</v>
      </c>
      <c r="AX220" s="200">
        <f t="shared" si="3558"/>
        <v>0</v>
      </c>
      <c r="AY220" s="200">
        <f t="shared" si="3558"/>
        <v>0</v>
      </c>
      <c r="AZ220" s="200">
        <f t="shared" si="3558"/>
        <v>0</v>
      </c>
      <c r="BA220" s="200">
        <f t="shared" si="3558"/>
        <v>0</v>
      </c>
      <c r="BB220" s="200">
        <f t="shared" si="3558"/>
        <v>0</v>
      </c>
      <c r="BC220" s="200">
        <f t="shared" si="3558"/>
        <v>0</v>
      </c>
      <c r="BD220" s="200">
        <f t="shared" si="3558"/>
        <v>0</v>
      </c>
      <c r="BE220" s="200">
        <f t="shared" si="3558"/>
        <v>0</v>
      </c>
      <c r="BF220" s="200">
        <f t="shared" si="3558"/>
        <v>0</v>
      </c>
      <c r="BG220" s="200">
        <f t="shared" si="3558"/>
        <v>0</v>
      </c>
      <c r="BH220" s="200">
        <f t="shared" si="3558"/>
        <v>0</v>
      </c>
      <c r="BI220" s="200">
        <f t="shared" si="3558"/>
        <v>0</v>
      </c>
      <c r="BJ220" s="200">
        <f t="shared" si="3558"/>
        <v>0</v>
      </c>
      <c r="BK220" s="200">
        <f t="shared" si="3558"/>
        <v>0</v>
      </c>
    </row>
    <row r="221" spans="1:63" ht="7.8" x14ac:dyDescent="0.15">
      <c r="A221" s="208" t="s">
        <v>203</v>
      </c>
      <c r="B221" s="192"/>
      <c r="C221" s="192"/>
      <c r="D221" s="192"/>
      <c r="E221" s="192"/>
      <c r="F221" s="192"/>
      <c r="G221" s="192"/>
      <c r="H221" s="192"/>
      <c r="I221" s="192"/>
      <c r="J221" s="192"/>
      <c r="K221" s="192"/>
      <c r="L221" s="192"/>
      <c r="M221" s="192"/>
      <c r="N221" s="192"/>
      <c r="O221" s="192"/>
      <c r="P221" s="192"/>
      <c r="Q221" s="192"/>
      <c r="R221" s="192"/>
      <c r="S221" s="192"/>
      <c r="T221" s="192"/>
      <c r="U221" s="192"/>
      <c r="V221" s="192"/>
      <c r="W221" s="192"/>
      <c r="X221" s="192"/>
      <c r="Y221" s="192"/>
      <c r="Z221" s="192"/>
      <c r="AA221" s="224">
        <f>IF(AA213-101&lt;&gt;LoanSaleHeld,0,SUM($D220:AA220)*LoanSalePercent)</f>
        <v>0</v>
      </c>
      <c r="AB221" s="225">
        <f>IF(AB213-101&lt;&gt;LoanSaleHeld,0,SUM($D220:AB220)*LoanSalePercent)</f>
        <v>0</v>
      </c>
      <c r="AC221" s="225">
        <f>IF(AC213-101&lt;&gt;LoanSaleHeld,0,SUM($D220:AC220)*LoanSalePercent)</f>
        <v>0</v>
      </c>
      <c r="AD221" s="225">
        <f>IF(AD213-101&lt;&gt;LoanSaleHeld,0,SUM($D220:AD220)*LoanSalePercent)</f>
        <v>221.81823638297669</v>
      </c>
      <c r="AE221" s="225">
        <f>IF(AE213-101&lt;&gt;LoanSaleHeld,0,SUM($D220:AE220)*LoanSalePercent)</f>
        <v>0</v>
      </c>
      <c r="AF221" s="225">
        <f>IF(AF213-101&lt;&gt;LoanSaleHeld,0,SUM($D220:AF220)*LoanSalePercent)</f>
        <v>0</v>
      </c>
      <c r="AG221" s="225">
        <f>IF(AG213-101&lt;&gt;LoanSaleHeld,0,SUM($D220:AG220)*LoanSalePercent)</f>
        <v>0</v>
      </c>
      <c r="AH221" s="225">
        <f>IF(AH213-101&lt;&gt;LoanSaleHeld,0,SUM($D220:AH220)*LoanSalePercent)</f>
        <v>0</v>
      </c>
      <c r="AI221" s="225">
        <f>IF(AI213-101&lt;&gt;LoanSaleHeld,0,SUM($D220:AI220)*LoanSalePercent)</f>
        <v>0</v>
      </c>
      <c r="AJ221" s="225">
        <f>IF(AJ213-101&lt;&gt;LoanSaleHeld,0,SUM($D220:AJ220)*LoanSalePercent)</f>
        <v>0</v>
      </c>
      <c r="AK221" s="225">
        <f>IF(AK213-101&lt;&gt;LoanSaleHeld,0,SUM($D220:AK220)*LoanSalePercent)</f>
        <v>0</v>
      </c>
      <c r="AL221" s="225">
        <f>IF(AL213-101&lt;&gt;LoanSaleHeld,0,SUM($D220:AL220)*LoanSalePercent)</f>
        <v>0</v>
      </c>
      <c r="AM221" s="225">
        <f>IF(AM213-101&lt;&gt;LoanSaleHeld,0,SUM($D220:AM220)*LoanSalePercent)</f>
        <v>0</v>
      </c>
      <c r="AN221" s="225">
        <f>IF(AN213-101&lt;&gt;LoanSaleHeld,0,SUM($D220:AN220)*LoanSalePercent)</f>
        <v>0</v>
      </c>
      <c r="AO221" s="225">
        <f>IF(AO213-101&lt;&gt;LoanSaleHeld,0,SUM($D220:AO220)*LoanSalePercent)</f>
        <v>0</v>
      </c>
      <c r="AP221" s="225">
        <f>IF(AP213-101&lt;&gt;LoanSaleHeld,0,SUM($D220:AP220)*LoanSalePercent)</f>
        <v>0</v>
      </c>
      <c r="AQ221" s="225">
        <f>IF(AQ213-101&lt;&gt;LoanSaleHeld,0,SUM($D220:AQ220)*LoanSalePercent)</f>
        <v>0</v>
      </c>
      <c r="AR221" s="225">
        <f>IF(AR213-101&lt;&gt;LoanSaleHeld,0,SUM($D220:AR220)*LoanSalePercent)</f>
        <v>0</v>
      </c>
      <c r="AS221" s="225">
        <f>IF(AS213-101&lt;&gt;LoanSaleHeld,0,SUM($D220:AS220)*LoanSalePercent)</f>
        <v>0</v>
      </c>
      <c r="AT221" s="225">
        <f>IF(AT213-101&lt;&gt;LoanSaleHeld,0,SUM($D220:AT220)*LoanSalePercent)</f>
        <v>0</v>
      </c>
      <c r="AU221" s="225">
        <f>IF(AU213-101&lt;&gt;LoanSaleHeld,0,SUM($D220:AU220)*LoanSalePercent)</f>
        <v>0</v>
      </c>
      <c r="AV221" s="225">
        <f>IF(AV213-101&lt;&gt;LoanSaleHeld,0,SUM($D220:AV220)*LoanSalePercent)</f>
        <v>0</v>
      </c>
      <c r="AW221" s="225">
        <f>IF(AW213-101&lt;&gt;LoanSaleHeld,0,SUM($D220:AW220)*LoanSalePercent)</f>
        <v>0</v>
      </c>
      <c r="AX221" s="225">
        <f>IF(AX213-101&lt;&gt;LoanSaleHeld,0,SUM($D220:AX220)*LoanSalePercent)</f>
        <v>0</v>
      </c>
      <c r="AY221" s="225">
        <f>IF(AY213-101&lt;&gt;LoanSaleHeld,0,SUM($D220:AY220)*LoanSalePercent)</f>
        <v>0</v>
      </c>
      <c r="AZ221" s="225">
        <f>IF(AZ213-101&lt;&gt;LoanSaleHeld,0,SUM($D220:AZ220)*LoanSalePercent)</f>
        <v>0</v>
      </c>
      <c r="BA221" s="225">
        <f>IF(BA213-101&lt;&gt;LoanSaleHeld,0,SUM($D220:BA220)*LoanSalePercent)</f>
        <v>0</v>
      </c>
      <c r="BB221" s="225">
        <f>IF(BB213-101&lt;&gt;LoanSaleHeld,0,SUM($D220:BB220)*LoanSalePercent)</f>
        <v>0</v>
      </c>
      <c r="BC221" s="225">
        <f>IF(BC213-101&lt;&gt;LoanSaleHeld,0,SUM($D220:BC220)*LoanSalePercent)</f>
        <v>0</v>
      </c>
      <c r="BD221" s="225">
        <f>IF(BD213-101&lt;&gt;LoanSaleHeld,0,SUM($D220:BD220)*LoanSalePercent)</f>
        <v>0</v>
      </c>
      <c r="BE221" s="225">
        <f>IF(BE213-101&lt;&gt;LoanSaleHeld,0,SUM($D220:BE220)*LoanSalePercent)</f>
        <v>0</v>
      </c>
      <c r="BF221" s="225">
        <f>IF(BF213-101&lt;&gt;LoanSaleHeld,0,SUM($D220:BF220)*LoanSalePercent)</f>
        <v>0</v>
      </c>
      <c r="BG221" s="225">
        <f>IF(BG213-101&lt;&gt;LoanSaleHeld,0,SUM($D220:BG220)*LoanSalePercent)</f>
        <v>0</v>
      </c>
      <c r="BH221" s="225">
        <f>IF(BH213-101&lt;&gt;LoanSaleHeld,0,SUM($D220:BH220)*LoanSalePercent)</f>
        <v>0</v>
      </c>
      <c r="BI221" s="225">
        <f>IF(BI213-101&lt;&gt;LoanSaleHeld,0,SUM($D220:BI220)*LoanSalePercent)</f>
        <v>0</v>
      </c>
      <c r="BJ221" s="225">
        <f>IF(BJ213-101&lt;&gt;LoanSaleHeld,0,SUM($D220:BJ220)*LoanSalePercent)</f>
        <v>0</v>
      </c>
      <c r="BK221" s="225">
        <f>IF(BK213-101&lt;&gt;LoanSaleHeld,0,SUM($D220:BK220)*LoanSalePercent)</f>
        <v>0</v>
      </c>
    </row>
    <row r="222" spans="1:63" ht="7.8" x14ac:dyDescent="0.15">
      <c r="A222" s="204">
        <f t="shared" ref="A222" si="3559">A213+1</f>
        <v>25</v>
      </c>
      <c r="B222" s="192"/>
      <c r="C222" s="192"/>
      <c r="D222" s="192"/>
      <c r="E222" s="192"/>
      <c r="F222" s="192"/>
      <c r="G222" s="192"/>
      <c r="H222" s="192"/>
      <c r="I222" s="192"/>
      <c r="J222" s="192"/>
      <c r="K222" s="192"/>
      <c r="L222" s="192"/>
      <c r="M222" s="192"/>
      <c r="N222" s="192"/>
      <c r="O222" s="192"/>
      <c r="P222" s="192"/>
      <c r="Q222" s="192"/>
      <c r="R222" s="192"/>
      <c r="S222" s="192"/>
      <c r="T222" s="192"/>
      <c r="U222" s="192"/>
      <c r="V222" s="192"/>
      <c r="W222" s="192"/>
      <c r="X222" s="192"/>
      <c r="Y222" s="192"/>
      <c r="Z222" s="192"/>
      <c r="AA222" s="192"/>
      <c r="AB222" s="195">
        <v>101</v>
      </c>
      <c r="AC222" s="196">
        <f t="shared" ref="AC222" si="3560">IF(AC223=0,0,AB222+1)</f>
        <v>102</v>
      </c>
      <c r="AD222" s="196">
        <f t="shared" ref="AD222" si="3561">IF(AD223=0,0,AC222+1)</f>
        <v>103</v>
      </c>
      <c r="AE222" s="196">
        <f t="shared" ref="AE222" si="3562">IF(AE223=0,0,AD222+1)</f>
        <v>104</v>
      </c>
      <c r="AF222" s="196">
        <f t="shared" ref="AF222" si="3563">IF(AF223=0,0,AE222+1)</f>
        <v>105</v>
      </c>
      <c r="AG222" s="196">
        <f t="shared" ref="AG222" si="3564">IF(AG223=0,0,AF222+1)</f>
        <v>106</v>
      </c>
      <c r="AH222" s="196">
        <f t="shared" ref="AH222" si="3565">IF(AH223=0,0,AG222+1)</f>
        <v>107</v>
      </c>
      <c r="AI222" s="196">
        <f t="shared" ref="AI222" si="3566">IF(AI223=0,0,AH222+1)</f>
        <v>108</v>
      </c>
      <c r="AJ222" s="196">
        <f t="shared" ref="AJ222" si="3567">IF(AJ223=0,0,AI222+1)</f>
        <v>109</v>
      </c>
      <c r="AK222" s="196">
        <f t="shared" ref="AK222" si="3568">IF(AK223=0,0,AJ222+1)</f>
        <v>110</v>
      </c>
      <c r="AL222" s="196">
        <f t="shared" ref="AL222" si="3569">IF(AL223=0,0,AK222+1)</f>
        <v>111</v>
      </c>
      <c r="AM222" s="196">
        <f t="shared" ref="AM222" si="3570">IF(AM223=0,0,AL222+1)</f>
        <v>112</v>
      </c>
      <c r="AN222" s="196">
        <f t="shared" ref="AN222" si="3571">IF(AN223=0,0,AM222+1)</f>
        <v>113</v>
      </c>
      <c r="AO222" s="196">
        <f t="shared" ref="AO222" si="3572">IF(AO223=0,0,AN222+1)</f>
        <v>114</v>
      </c>
      <c r="AP222" s="196">
        <f t="shared" ref="AP222" si="3573">IF(AP223=0,0,AO222+1)</f>
        <v>115</v>
      </c>
      <c r="AQ222" s="196">
        <f t="shared" ref="AQ222" si="3574">IF(AQ223=0,0,AP222+1)</f>
        <v>116</v>
      </c>
      <c r="AR222" s="196">
        <f t="shared" ref="AR222" si="3575">IF(AR223=0,0,AQ222+1)</f>
        <v>117</v>
      </c>
      <c r="AS222" s="196">
        <f t="shared" ref="AS222" si="3576">IF(AS223=0,0,AR222+1)</f>
        <v>118</v>
      </c>
      <c r="AT222" s="196">
        <f t="shared" ref="AT222" si="3577">IF(AT223=0,0,AS222+1)</f>
        <v>119</v>
      </c>
      <c r="AU222" s="196">
        <f t="shared" ref="AU222" si="3578">IF(AU223=0,0,AT222+1)</f>
        <v>0</v>
      </c>
      <c r="AV222" s="196">
        <f t="shared" ref="AV222" si="3579">IF(AV223=0,0,AU222+1)</f>
        <v>0</v>
      </c>
      <c r="AW222" s="196">
        <f t="shared" ref="AW222" si="3580">IF(AW223=0,0,AV222+1)</f>
        <v>0</v>
      </c>
      <c r="AX222" s="196">
        <f t="shared" ref="AX222" si="3581">IF(AX223=0,0,AW222+1)</f>
        <v>0</v>
      </c>
      <c r="AY222" s="196">
        <f t="shared" ref="AY222" si="3582">IF(AY223=0,0,AX222+1)</f>
        <v>0</v>
      </c>
      <c r="AZ222" s="196">
        <f t="shared" ref="AZ222" si="3583">IF(AZ223=0,0,AY222+1)</f>
        <v>0</v>
      </c>
      <c r="BA222" s="196">
        <f t="shared" ref="BA222" si="3584">IF(BA223=0,0,AZ222+1)</f>
        <v>0</v>
      </c>
      <c r="BB222" s="196">
        <f t="shared" ref="BB222" si="3585">IF(BB223=0,0,BA222+1)</f>
        <v>0</v>
      </c>
      <c r="BC222" s="196">
        <f t="shared" ref="BC222" si="3586">IF(BC223=0,0,BB222+1)</f>
        <v>0</v>
      </c>
      <c r="BD222" s="196">
        <f t="shared" ref="BD222" si="3587">IF(BD223=0,0,BC222+1)</f>
        <v>0</v>
      </c>
      <c r="BE222" s="196">
        <f t="shared" ref="BE222" si="3588">IF(BE223=0,0,BD222+1)</f>
        <v>0</v>
      </c>
      <c r="BF222" s="196">
        <f t="shared" ref="BF222" si="3589">IF(BF223=0,0,BE222+1)</f>
        <v>0</v>
      </c>
      <c r="BG222" s="196">
        <f t="shared" ref="BG222" si="3590">IF(BG223=0,0,BF222+1)</f>
        <v>0</v>
      </c>
      <c r="BH222" s="196">
        <f t="shared" ref="BH222" si="3591">IF(BH223=0,0,BG222+1)</f>
        <v>0</v>
      </c>
      <c r="BI222" s="196">
        <f t="shared" ref="BI222" si="3592">IF(BI223=0,0,BH222+1)</f>
        <v>0</v>
      </c>
      <c r="BJ222" s="196">
        <f t="shared" ref="BJ222" si="3593">IF(BJ223=0,0,BI222+1)</f>
        <v>0</v>
      </c>
      <c r="BK222" s="196">
        <f t="shared" ref="BK222" si="3594">IF(BK223=0,0,BJ222+1)</f>
        <v>0</v>
      </c>
    </row>
    <row r="223" spans="1:63" ht="7.8" x14ac:dyDescent="0.15">
      <c r="A223" s="216" t="s">
        <v>178</v>
      </c>
      <c r="B223" s="192"/>
      <c r="C223" s="192"/>
      <c r="D223" s="192"/>
      <c r="E223" s="192"/>
      <c r="F223" s="192"/>
      <c r="G223" s="192"/>
      <c r="H223" s="192"/>
      <c r="I223" s="192"/>
      <c r="J223" s="192"/>
      <c r="K223" s="192"/>
      <c r="L223" s="192"/>
      <c r="M223" s="192"/>
      <c r="N223" s="192"/>
      <c r="O223" s="192"/>
      <c r="P223" s="192"/>
      <c r="Q223" s="192"/>
      <c r="R223" s="192"/>
      <c r="S223" s="192"/>
      <c r="T223" s="192"/>
      <c r="U223" s="192"/>
      <c r="V223" s="192"/>
      <c r="W223" s="192"/>
      <c r="X223" s="192"/>
      <c r="Y223" s="192"/>
      <c r="Z223" s="192"/>
      <c r="AA223" s="192"/>
      <c r="AB223" s="217">
        <f>LoanSize</f>
        <v>25</v>
      </c>
      <c r="AC223" s="215">
        <f>IF(AB223-AB226&lt;=0.1,0,AB223-AB226)</f>
        <v>23.79027212253634</v>
      </c>
      <c r="AD223" s="215">
        <f t="shared" ref="AD223:BK223" si="3595">IF(AC223-AC226&lt;=0.1,0,AC223-AC226)</f>
        <v>22.56189427362845</v>
      </c>
      <c r="AE223" s="215">
        <f t="shared" si="3595"/>
        <v>21.314578932883229</v>
      </c>
      <c r="AF223" s="215">
        <f t="shared" si="3595"/>
        <v>20.048034147301522</v>
      </c>
      <c r="AG223" s="215">
        <f t="shared" si="3595"/>
        <v>18.761963462942095</v>
      </c>
      <c r="AH223" s="215">
        <f t="shared" si="3595"/>
        <v>17.456065855532128</v>
      </c>
      <c r="AI223" s="215">
        <f t="shared" si="3595"/>
        <v>16.130035660007923</v>
      </c>
      <c r="AJ223" s="215">
        <f t="shared" si="3595"/>
        <v>14.783562498969387</v>
      </c>
      <c r="AK223" s="215">
        <f t="shared" si="3595"/>
        <v>13.416331210031506</v>
      </c>
      <c r="AL223" s="215">
        <f t="shared" si="3595"/>
        <v>12.028021772055833</v>
      </c>
      <c r="AM223" s="215">
        <f t="shared" si="3595"/>
        <v>10.618309230244702</v>
      </c>
      <c r="AN223" s="215">
        <f t="shared" si="3595"/>
        <v>9.1868636200806488</v>
      </c>
      <c r="AO223" s="215">
        <f t="shared" si="3595"/>
        <v>7.7333498900932334</v>
      </c>
      <c r="AP223" s="215">
        <f t="shared" si="3595"/>
        <v>6.2574278234351794</v>
      </c>
      <c r="AQ223" s="215">
        <f t="shared" si="3595"/>
        <v>4.7587519582494799</v>
      </c>
      <c r="AR223" s="215">
        <f t="shared" si="3595"/>
        <v>3.2369715068088345</v>
      </c>
      <c r="AS223" s="215">
        <f t="shared" si="3595"/>
        <v>1.6917302734084789</v>
      </c>
      <c r="AT223" s="215">
        <f t="shared" si="3595"/>
        <v>0.12266657099320111</v>
      </c>
      <c r="AU223" s="215">
        <f t="shared" si="3595"/>
        <v>0</v>
      </c>
      <c r="AV223" s="215">
        <f t="shared" si="3595"/>
        <v>0</v>
      </c>
      <c r="AW223" s="215">
        <f t="shared" si="3595"/>
        <v>0</v>
      </c>
      <c r="AX223" s="215">
        <f t="shared" si="3595"/>
        <v>0</v>
      </c>
      <c r="AY223" s="215">
        <f t="shared" si="3595"/>
        <v>0</v>
      </c>
      <c r="AZ223" s="215">
        <f t="shared" si="3595"/>
        <v>0</v>
      </c>
      <c r="BA223" s="215">
        <f t="shared" si="3595"/>
        <v>0</v>
      </c>
      <c r="BB223" s="215">
        <f t="shared" si="3595"/>
        <v>0</v>
      </c>
      <c r="BC223" s="215">
        <f t="shared" si="3595"/>
        <v>0</v>
      </c>
      <c r="BD223" s="215">
        <f t="shared" si="3595"/>
        <v>0</v>
      </c>
      <c r="BE223" s="215">
        <f t="shared" si="3595"/>
        <v>0</v>
      </c>
      <c r="BF223" s="215">
        <f t="shared" si="3595"/>
        <v>0</v>
      </c>
      <c r="BG223" s="215">
        <f t="shared" si="3595"/>
        <v>0</v>
      </c>
      <c r="BH223" s="215">
        <f t="shared" si="3595"/>
        <v>0</v>
      </c>
      <c r="BI223" s="215">
        <f t="shared" si="3595"/>
        <v>0</v>
      </c>
      <c r="BJ223" s="215">
        <f t="shared" si="3595"/>
        <v>0</v>
      </c>
      <c r="BK223" s="215">
        <f t="shared" si="3595"/>
        <v>0</v>
      </c>
    </row>
    <row r="224" spans="1:63" ht="7.8" x14ac:dyDescent="0.15">
      <c r="A224" s="218" t="s">
        <v>179</v>
      </c>
      <c r="B224" s="192"/>
      <c r="C224" s="192"/>
      <c r="D224" s="192"/>
      <c r="E224" s="192"/>
      <c r="F224" s="192"/>
      <c r="G224" s="192"/>
      <c r="H224" s="192"/>
      <c r="I224" s="192"/>
      <c r="J224" s="192"/>
      <c r="K224" s="192"/>
      <c r="L224" s="192"/>
      <c r="M224" s="192"/>
      <c r="N224" s="192"/>
      <c r="O224" s="192"/>
      <c r="P224" s="192"/>
      <c r="Q224" s="192"/>
      <c r="R224" s="192"/>
      <c r="S224" s="192"/>
      <c r="T224" s="192"/>
      <c r="U224" s="192"/>
      <c r="V224" s="192"/>
      <c r="W224" s="192"/>
      <c r="X224" s="192"/>
      <c r="Y224" s="192"/>
      <c r="Z224" s="192"/>
      <c r="AA224" s="192"/>
      <c r="AB224" s="219">
        <f>IF(AB223=0,0,PMT(INDEX(LoanCohortRate,1),LoanTerm, -LoanSize))</f>
        <v>1.5951445441303251</v>
      </c>
      <c r="AC224" s="222">
        <f t="shared" ref="AC224" si="3596">IF(AC223=0,0, AB224)</f>
        <v>1.5951445441303251</v>
      </c>
      <c r="AD224" s="222">
        <f t="shared" ref="AD224" si="3597">IF(AD223=0,0, AC224)</f>
        <v>1.5951445441303251</v>
      </c>
      <c r="AE224" s="222">
        <f t="shared" ref="AE224" si="3598">IF(AE223=0,0, AD224)</f>
        <v>1.5951445441303251</v>
      </c>
      <c r="AF224" s="222">
        <f t="shared" ref="AF224" si="3599">IF(AF223=0,0, AE224)</f>
        <v>1.5951445441303251</v>
      </c>
      <c r="AG224" s="222">
        <f t="shared" ref="AG224" si="3600">IF(AG223=0,0, AF224)</f>
        <v>1.5951445441303251</v>
      </c>
      <c r="AH224" s="222">
        <f t="shared" ref="AH224" si="3601">IF(AH223=0,0, AG224)</f>
        <v>1.5951445441303251</v>
      </c>
      <c r="AI224" s="222">
        <f t="shared" ref="AI224" si="3602">IF(AI223=0,0, AH224)</f>
        <v>1.5951445441303251</v>
      </c>
      <c r="AJ224" s="222">
        <f t="shared" ref="AJ224" si="3603">IF(AJ223=0,0, AI224)</f>
        <v>1.5951445441303251</v>
      </c>
      <c r="AK224" s="222">
        <f t="shared" ref="AK224" si="3604">IF(AK223=0,0, AJ224)</f>
        <v>1.5951445441303251</v>
      </c>
      <c r="AL224" s="222">
        <f t="shared" ref="AL224" si="3605">IF(AL223=0,0, AK224)</f>
        <v>1.5951445441303251</v>
      </c>
      <c r="AM224" s="222">
        <f t="shared" ref="AM224" si="3606">IF(AM223=0,0, AL224)</f>
        <v>1.5951445441303251</v>
      </c>
      <c r="AN224" s="222">
        <f t="shared" ref="AN224" si="3607">IF(AN223=0,0, AM224)</f>
        <v>1.5951445441303251</v>
      </c>
      <c r="AO224" s="222">
        <f t="shared" ref="AO224" si="3608">IF(AO223=0,0, AN224)</f>
        <v>1.5951445441303251</v>
      </c>
      <c r="AP224" s="222">
        <f t="shared" ref="AP224" si="3609">IF(AP223=0,0, AO224)</f>
        <v>1.5951445441303251</v>
      </c>
      <c r="AQ224" s="222">
        <f t="shared" ref="AQ224" si="3610">IF(AQ223=0,0, AP224)</f>
        <v>1.5951445441303251</v>
      </c>
      <c r="AR224" s="222">
        <f t="shared" ref="AR224" si="3611">IF(AR223=0,0, AQ224)</f>
        <v>1.5951445441303251</v>
      </c>
      <c r="AS224" s="222">
        <f t="shared" ref="AS224" si="3612">IF(AS223=0,0, AR224)</f>
        <v>1.5951445441303251</v>
      </c>
      <c r="AT224" s="222">
        <f t="shared" ref="AT224" si="3613">IF(AT223=0,0, AS224)</f>
        <v>1.5951445441303251</v>
      </c>
      <c r="AU224" s="222">
        <f t="shared" ref="AU224" si="3614">IF(AU223=0,0, AT224)</f>
        <v>0</v>
      </c>
      <c r="AV224" s="222">
        <f t="shared" ref="AV224" si="3615">IF(AV223=0,0, AU224)</f>
        <v>0</v>
      </c>
      <c r="AW224" s="222">
        <f t="shared" ref="AW224" si="3616">IF(AW223=0,0, AV224)</f>
        <v>0</v>
      </c>
      <c r="AX224" s="222">
        <f t="shared" ref="AX224" si="3617">IF(AX223=0,0, AW224)</f>
        <v>0</v>
      </c>
      <c r="AY224" s="222">
        <f t="shared" ref="AY224" si="3618">IF(AY223=0,0, AX224)</f>
        <v>0</v>
      </c>
      <c r="AZ224" s="222">
        <f t="shared" ref="AZ224" si="3619">IF(AZ223=0,0, AY224)</f>
        <v>0</v>
      </c>
      <c r="BA224" s="222">
        <f t="shared" ref="BA224" si="3620">IF(BA223=0,0, AZ224)</f>
        <v>0</v>
      </c>
      <c r="BB224" s="222">
        <f t="shared" ref="BB224" si="3621">IF(BB223=0,0, BA224)</f>
        <v>0</v>
      </c>
      <c r="BC224" s="222">
        <f t="shared" ref="BC224" si="3622">IF(BC223=0,0, BB224)</f>
        <v>0</v>
      </c>
      <c r="BD224" s="222">
        <f t="shared" ref="BD224" si="3623">IF(BD223=0,0, BC224)</f>
        <v>0</v>
      </c>
      <c r="BE224" s="222">
        <f t="shared" ref="BE224" si="3624">IF(BE223=0,0, BD224)</f>
        <v>0</v>
      </c>
      <c r="BF224" s="222">
        <f t="shared" ref="BF224" si="3625">IF(BF223=0,0, BE224)</f>
        <v>0</v>
      </c>
      <c r="BG224" s="222">
        <f t="shared" ref="BG224" si="3626">IF(BG223=0,0, BF224)</f>
        <v>0</v>
      </c>
      <c r="BH224" s="222">
        <f t="shared" ref="BH224" si="3627">IF(BH223=0,0, BG224)</f>
        <v>0</v>
      </c>
      <c r="BI224" s="222">
        <f t="shared" ref="BI224" si="3628">IF(BI223=0,0, BH224)</f>
        <v>0</v>
      </c>
      <c r="BJ224" s="222">
        <f t="shared" ref="BJ224" si="3629">IF(BJ223=0,0, BI224)</f>
        <v>0</v>
      </c>
      <c r="BK224" s="222">
        <f t="shared" ref="BK224" si="3630">IF(BK223=0,0, BJ224)</f>
        <v>0</v>
      </c>
    </row>
    <row r="225" spans="1:63" ht="7.8" x14ac:dyDescent="0.15">
      <c r="A225" s="218" t="s">
        <v>180</v>
      </c>
      <c r="B225" s="192"/>
      <c r="C225" s="192"/>
      <c r="D225" s="192"/>
      <c r="E225" s="192"/>
      <c r="F225" s="192"/>
      <c r="G225" s="192"/>
      <c r="H225" s="192"/>
      <c r="I225" s="192"/>
      <c r="J225" s="192"/>
      <c r="K225" s="192"/>
      <c r="L225" s="192"/>
      <c r="M225" s="192"/>
      <c r="N225" s="192"/>
      <c r="O225" s="192"/>
      <c r="P225" s="192"/>
      <c r="Q225" s="192"/>
      <c r="R225" s="192"/>
      <c r="S225" s="192"/>
      <c r="T225" s="192"/>
      <c r="U225" s="192"/>
      <c r="V225" s="192"/>
      <c r="W225" s="192"/>
      <c r="X225" s="192"/>
      <c r="Y225" s="192"/>
      <c r="Z225" s="192"/>
      <c r="AA225" s="192"/>
      <c r="AB225" s="220" cm="1">
        <f t="array" ref="AB225">AB223*INDEX(LoanCohortRate,$A222)</f>
        <v>0.38541666666666669</v>
      </c>
      <c r="AC225" s="221" cm="1">
        <f t="array" ref="AC225">AC223*INDEX(LoanCohortRate,$A222)</f>
        <v>0.36676669522243527</v>
      </c>
      <c r="AD225" s="221" cm="1">
        <f t="array" ref="AD225">AD223*INDEX(LoanCohortRate,$A222)</f>
        <v>0.34782920338510526</v>
      </c>
      <c r="AE225" s="221" cm="1">
        <f t="array" ref="AE225">AE223*INDEX(LoanCohortRate,$A222)</f>
        <v>0.32859975854861645</v>
      </c>
      <c r="AF225" s="221" cm="1">
        <f t="array" ref="AF225">AF223*INDEX(LoanCohortRate,$A222)</f>
        <v>0.30907385977089846</v>
      </c>
      <c r="AG225" s="221" cm="1">
        <f t="array" ref="AG225">AG223*INDEX(LoanCohortRate,$A222)</f>
        <v>0.28924693672035728</v>
      </c>
      <c r="AH225" s="221" cm="1">
        <f t="array" ref="AH225">AH223*INDEX(LoanCohortRate,$A222)</f>
        <v>0.26911434860612032</v>
      </c>
      <c r="AI225" s="221" cm="1">
        <f t="array" ref="AI225">AI223*INDEX(LoanCohortRate,$A222)</f>
        <v>0.24867138309178882</v>
      </c>
      <c r="AJ225" s="221" cm="1">
        <f t="array" ref="AJ225">AJ223*INDEX(LoanCohortRate,$A222)</f>
        <v>0.22791325519244471</v>
      </c>
      <c r="AK225" s="221" cm="1">
        <f t="array" ref="AK225">AK223*INDEX(LoanCohortRate,$A222)</f>
        <v>0.20683510615465239</v>
      </c>
      <c r="AL225" s="221" cm="1">
        <f t="array" ref="AL225">AL223*INDEX(LoanCohortRate,$A222)</f>
        <v>0.1854320023191941</v>
      </c>
      <c r="AM225" s="221" cm="1">
        <f t="array" ref="AM225">AM223*INDEX(LoanCohortRate,$A222)</f>
        <v>0.1636989339662725</v>
      </c>
      <c r="AN225" s="221" cm="1">
        <f t="array" ref="AN225">AN223*INDEX(LoanCohortRate,$A222)</f>
        <v>0.14163081414291001</v>
      </c>
      <c r="AO225" s="221" cm="1">
        <f t="array" ref="AO225">AO223*INDEX(LoanCohortRate,$A222)</f>
        <v>0.11922247747227069</v>
      </c>
      <c r="AP225" s="221" cm="1">
        <f t="array" ref="AP225">AP223*INDEX(LoanCohortRate,$A222)</f>
        <v>9.6468678944625685E-2</v>
      </c>
      <c r="AQ225" s="221" cm="1">
        <f t="array" ref="AQ225">AQ223*INDEX(LoanCohortRate,$A222)</f>
        <v>7.3364092689679486E-2</v>
      </c>
      <c r="AR225" s="221" cm="1">
        <f t="array" ref="AR225">AR223*INDEX(LoanCohortRate,$A222)</f>
        <v>4.9903310729969536E-2</v>
      </c>
      <c r="AS225" s="221" cm="1">
        <f t="array" ref="AS225">AS223*INDEX(LoanCohortRate,$A222)</f>
        <v>2.6080841715047383E-2</v>
      </c>
      <c r="AT225" s="221" cm="1">
        <f t="array" ref="AT225">AT223*INDEX(LoanCohortRate,$A222)</f>
        <v>1.8911096361451838E-3</v>
      </c>
      <c r="AU225" s="221" cm="1">
        <f t="array" ref="AU225">AU223*INDEX(LoanCohortRate,$A222)</f>
        <v>0</v>
      </c>
      <c r="AV225" s="221" cm="1">
        <f t="array" ref="AV225">AV223*INDEX(LoanCohortRate,$A222)</f>
        <v>0</v>
      </c>
      <c r="AW225" s="221" cm="1">
        <f t="array" ref="AW225">AW223*INDEX(LoanCohortRate,$A222)</f>
        <v>0</v>
      </c>
      <c r="AX225" s="221" cm="1">
        <f t="array" ref="AX225">AX223*INDEX(LoanCohortRate,$A222)</f>
        <v>0</v>
      </c>
      <c r="AY225" s="221" cm="1">
        <f t="array" ref="AY225">AY223*INDEX(LoanCohortRate,$A222)</f>
        <v>0</v>
      </c>
      <c r="AZ225" s="221" cm="1">
        <f t="array" ref="AZ225">AZ223*INDEX(LoanCohortRate,$A222)</f>
        <v>0</v>
      </c>
      <c r="BA225" s="221" cm="1">
        <f t="array" ref="BA225">BA223*INDEX(LoanCohortRate,$A222)</f>
        <v>0</v>
      </c>
      <c r="BB225" s="221" cm="1">
        <f t="array" ref="BB225">BB223*INDEX(LoanCohortRate,$A222)</f>
        <v>0</v>
      </c>
      <c r="BC225" s="221" cm="1">
        <f t="array" ref="BC225">BC223*INDEX(LoanCohortRate,$A222)</f>
        <v>0</v>
      </c>
      <c r="BD225" s="221" cm="1">
        <f t="array" ref="BD225">BD223*INDEX(LoanCohortRate,$A222)</f>
        <v>0</v>
      </c>
      <c r="BE225" s="221" cm="1">
        <f t="array" ref="BE225">BE223*INDEX(LoanCohortRate,$A222)</f>
        <v>0</v>
      </c>
      <c r="BF225" s="221" cm="1">
        <f t="array" ref="BF225">BF223*INDEX(LoanCohortRate,$A222)</f>
        <v>0</v>
      </c>
      <c r="BG225" s="221" cm="1">
        <f t="array" ref="BG225">BG223*INDEX(LoanCohortRate,$A222)</f>
        <v>0</v>
      </c>
      <c r="BH225" s="221" cm="1">
        <f t="array" ref="BH225">BH223*INDEX(LoanCohortRate,$A222)</f>
        <v>0</v>
      </c>
      <c r="BI225" s="221" cm="1">
        <f t="array" ref="BI225">BI223*INDEX(LoanCohortRate,$A222)</f>
        <v>0</v>
      </c>
      <c r="BJ225" s="221" cm="1">
        <f t="array" ref="BJ225">BJ223*INDEX(LoanCohortRate,$A222)</f>
        <v>0</v>
      </c>
      <c r="BK225" s="221" cm="1">
        <f t="array" ref="BK225">BK223*INDEX(LoanCohortRate,$A222)</f>
        <v>0</v>
      </c>
    </row>
    <row r="226" spans="1:63" ht="7.8" x14ac:dyDescent="0.15">
      <c r="A226" s="218" t="s">
        <v>177</v>
      </c>
      <c r="B226" s="192"/>
      <c r="C226" s="192"/>
      <c r="D226" s="192"/>
      <c r="E226" s="192"/>
      <c r="F226" s="192"/>
      <c r="G226" s="192"/>
      <c r="H226" s="192"/>
      <c r="I226" s="192"/>
      <c r="J226" s="192"/>
      <c r="K226" s="192"/>
      <c r="L226" s="192"/>
      <c r="M226" s="192"/>
      <c r="N226" s="192"/>
      <c r="O226" s="192"/>
      <c r="P226" s="192"/>
      <c r="Q226" s="192"/>
      <c r="R226" s="192"/>
      <c r="S226" s="192"/>
      <c r="T226" s="192"/>
      <c r="U226" s="192"/>
      <c r="V226" s="192"/>
      <c r="W226" s="192"/>
      <c r="X226" s="192"/>
      <c r="Y226" s="192"/>
      <c r="Z226" s="192"/>
      <c r="AA226" s="192"/>
      <c r="AB226" s="219">
        <f>AB224-AB225</f>
        <v>1.2097278774636584</v>
      </c>
      <c r="AC226" s="222">
        <f t="shared" ref="AC226:BK226" si="3631">AC224-AC225</f>
        <v>1.2283778489078898</v>
      </c>
      <c r="AD226" s="222">
        <f t="shared" si="3631"/>
        <v>1.24731534074522</v>
      </c>
      <c r="AE226" s="222">
        <f t="shared" si="3631"/>
        <v>1.2665447855817087</v>
      </c>
      <c r="AF226" s="222">
        <f t="shared" si="3631"/>
        <v>1.2860706843594267</v>
      </c>
      <c r="AG226" s="222">
        <f t="shared" si="3631"/>
        <v>1.305897607409968</v>
      </c>
      <c r="AH226" s="222">
        <f t="shared" si="3631"/>
        <v>1.3260301955242049</v>
      </c>
      <c r="AI226" s="222">
        <f t="shared" si="3631"/>
        <v>1.3464731610385363</v>
      </c>
      <c r="AJ226" s="222">
        <f t="shared" si="3631"/>
        <v>1.3672312889378804</v>
      </c>
      <c r="AK226" s="222">
        <f t="shared" si="3631"/>
        <v>1.3883094379756726</v>
      </c>
      <c r="AL226" s="222">
        <f t="shared" si="3631"/>
        <v>1.4097125418111309</v>
      </c>
      <c r="AM226" s="222">
        <f t="shared" si="3631"/>
        <v>1.4314456101640527</v>
      </c>
      <c r="AN226" s="222">
        <f t="shared" si="3631"/>
        <v>1.453513729987415</v>
      </c>
      <c r="AO226" s="222">
        <f t="shared" si="3631"/>
        <v>1.4759220666580544</v>
      </c>
      <c r="AP226" s="222">
        <f t="shared" si="3631"/>
        <v>1.4986758651856995</v>
      </c>
      <c r="AQ226" s="222">
        <f t="shared" si="3631"/>
        <v>1.5217804514406457</v>
      </c>
      <c r="AR226" s="222">
        <f t="shared" si="3631"/>
        <v>1.5452412334003556</v>
      </c>
      <c r="AS226" s="222">
        <f t="shared" si="3631"/>
        <v>1.5690637024152778</v>
      </c>
      <c r="AT226" s="222">
        <f t="shared" si="3631"/>
        <v>1.59325343449418</v>
      </c>
      <c r="AU226" s="222">
        <f t="shared" si="3631"/>
        <v>0</v>
      </c>
      <c r="AV226" s="222">
        <f t="shared" si="3631"/>
        <v>0</v>
      </c>
      <c r="AW226" s="222">
        <f t="shared" si="3631"/>
        <v>0</v>
      </c>
      <c r="AX226" s="222">
        <f t="shared" si="3631"/>
        <v>0</v>
      </c>
      <c r="AY226" s="222">
        <f t="shared" si="3631"/>
        <v>0</v>
      </c>
      <c r="AZ226" s="222">
        <f t="shared" si="3631"/>
        <v>0</v>
      </c>
      <c r="BA226" s="222">
        <f t="shared" si="3631"/>
        <v>0</v>
      </c>
      <c r="BB226" s="222">
        <f t="shared" si="3631"/>
        <v>0</v>
      </c>
      <c r="BC226" s="222">
        <f t="shared" si="3631"/>
        <v>0</v>
      </c>
      <c r="BD226" s="222">
        <f t="shared" si="3631"/>
        <v>0</v>
      </c>
      <c r="BE226" s="222">
        <f t="shared" si="3631"/>
        <v>0</v>
      </c>
      <c r="BF226" s="222">
        <f t="shared" si="3631"/>
        <v>0</v>
      </c>
      <c r="BG226" s="222">
        <f t="shared" si="3631"/>
        <v>0</v>
      </c>
      <c r="BH226" s="222">
        <f t="shared" si="3631"/>
        <v>0</v>
      </c>
      <c r="BI226" s="222">
        <f t="shared" si="3631"/>
        <v>0</v>
      </c>
      <c r="BJ226" s="222">
        <f t="shared" si="3631"/>
        <v>0</v>
      </c>
      <c r="BK226" s="222">
        <f t="shared" si="3631"/>
        <v>0</v>
      </c>
    </row>
    <row r="227" spans="1:63" ht="7.8" x14ac:dyDescent="0.15">
      <c r="A227" s="205" t="s">
        <v>7</v>
      </c>
      <c r="B227" s="192"/>
      <c r="C227" s="192"/>
      <c r="D227" s="192"/>
      <c r="E227" s="192"/>
      <c r="F227" s="192"/>
      <c r="G227" s="192"/>
      <c r="H227" s="192"/>
      <c r="I227" s="192"/>
      <c r="J227" s="192"/>
      <c r="K227" s="192"/>
      <c r="L227" s="192"/>
      <c r="M227" s="192"/>
      <c r="N227" s="192"/>
      <c r="O227" s="192"/>
      <c r="P227" s="192"/>
      <c r="Q227" s="192"/>
      <c r="R227" s="192"/>
      <c r="S227" s="192"/>
      <c r="T227" s="192"/>
      <c r="U227" s="192"/>
      <c r="V227" s="192"/>
      <c r="W227" s="192"/>
      <c r="X227" s="192"/>
      <c r="Y227" s="192"/>
      <c r="Z227" s="192"/>
      <c r="AA227" s="192"/>
      <c r="AB227" s="214" cm="1">
        <f t="array" ref="AB227">INDEX(LoanOriginations,$A222)</f>
        <v>112.71597762053885</v>
      </c>
      <c r="AC227" s="199">
        <f t="shared" ref="AC227:BK227" si="3632">AB227*(1-MitigateDelinquency*MitigateChargeoff)  *  IF(AC222=0,0,IF(AC222-102=LoanSaleHeld,0.6,1))</f>
        <v>112.60326164291831</v>
      </c>
      <c r="AD227" s="199">
        <f t="shared" si="3632"/>
        <v>112.4906583812754</v>
      </c>
      <c r="AE227" s="199">
        <f t="shared" si="3632"/>
        <v>112.37816772289412</v>
      </c>
      <c r="AF227" s="199">
        <f t="shared" si="3632"/>
        <v>67.359473733102732</v>
      </c>
      <c r="AG227" s="199">
        <f t="shared" si="3632"/>
        <v>67.292114259369626</v>
      </c>
      <c r="AH227" s="199">
        <f t="shared" si="3632"/>
        <v>67.224822145110252</v>
      </c>
      <c r="AI227" s="199">
        <f t="shared" si="3632"/>
        <v>67.157597322965145</v>
      </c>
      <c r="AJ227" s="199">
        <f t="shared" si="3632"/>
        <v>67.090439725642184</v>
      </c>
      <c r="AK227" s="199">
        <f t="shared" si="3632"/>
        <v>67.023349285916538</v>
      </c>
      <c r="AL227" s="199">
        <f t="shared" si="3632"/>
        <v>66.95632593663062</v>
      </c>
      <c r="AM227" s="199">
        <f t="shared" si="3632"/>
        <v>66.88936961069399</v>
      </c>
      <c r="AN227" s="199">
        <f t="shared" si="3632"/>
        <v>66.822480241083298</v>
      </c>
      <c r="AO227" s="199">
        <f t="shared" si="3632"/>
        <v>66.755657760842212</v>
      </c>
      <c r="AP227" s="199">
        <f t="shared" si="3632"/>
        <v>66.688902103081375</v>
      </c>
      <c r="AQ227" s="199">
        <f t="shared" si="3632"/>
        <v>66.622213200978294</v>
      </c>
      <c r="AR227" s="199">
        <f t="shared" si="3632"/>
        <v>66.555590987777322</v>
      </c>
      <c r="AS227" s="199">
        <f t="shared" si="3632"/>
        <v>66.489035396789546</v>
      </c>
      <c r="AT227" s="199">
        <f t="shared" si="3632"/>
        <v>66.422546361392762</v>
      </c>
      <c r="AU227" s="199">
        <f t="shared" si="3632"/>
        <v>0</v>
      </c>
      <c r="AV227" s="199">
        <f t="shared" si="3632"/>
        <v>0</v>
      </c>
      <c r="AW227" s="199">
        <f t="shared" si="3632"/>
        <v>0</v>
      </c>
      <c r="AX227" s="199">
        <f t="shared" si="3632"/>
        <v>0</v>
      </c>
      <c r="AY227" s="199">
        <f t="shared" si="3632"/>
        <v>0</v>
      </c>
      <c r="AZ227" s="199">
        <f t="shared" si="3632"/>
        <v>0</v>
      </c>
      <c r="BA227" s="199">
        <f t="shared" si="3632"/>
        <v>0</v>
      </c>
      <c r="BB227" s="199">
        <f t="shared" si="3632"/>
        <v>0</v>
      </c>
      <c r="BC227" s="199">
        <f t="shared" si="3632"/>
        <v>0</v>
      </c>
      <c r="BD227" s="199">
        <f t="shared" si="3632"/>
        <v>0</v>
      </c>
      <c r="BE227" s="199">
        <f t="shared" si="3632"/>
        <v>0</v>
      </c>
      <c r="BF227" s="199">
        <f t="shared" si="3632"/>
        <v>0</v>
      </c>
      <c r="BG227" s="199">
        <f t="shared" si="3632"/>
        <v>0</v>
      </c>
      <c r="BH227" s="199">
        <f t="shared" si="3632"/>
        <v>0</v>
      </c>
      <c r="BI227" s="199">
        <f t="shared" si="3632"/>
        <v>0</v>
      </c>
      <c r="BJ227" s="199">
        <f t="shared" si="3632"/>
        <v>0</v>
      </c>
      <c r="BK227" s="199">
        <f t="shared" si="3632"/>
        <v>0</v>
      </c>
    </row>
    <row r="228" spans="1:63" ht="7.8" x14ac:dyDescent="0.15">
      <c r="A228" s="207" t="s">
        <v>96</v>
      </c>
      <c r="B228" s="192"/>
      <c r="C228" s="192"/>
      <c r="D228" s="192"/>
      <c r="E228" s="192"/>
      <c r="F228" s="192"/>
      <c r="G228" s="192"/>
      <c r="H228" s="192"/>
      <c r="I228" s="192"/>
      <c r="J228" s="192"/>
      <c r="K228" s="192"/>
      <c r="L228" s="192"/>
      <c r="M228" s="192"/>
      <c r="N228" s="192"/>
      <c r="O228" s="192"/>
      <c r="P228" s="192"/>
      <c r="Q228" s="192"/>
      <c r="R228" s="192"/>
      <c r="S228" s="192"/>
      <c r="T228" s="192"/>
      <c r="U228" s="192"/>
      <c r="V228" s="192"/>
      <c r="W228" s="192"/>
      <c r="X228" s="192"/>
      <c r="Y228" s="192"/>
      <c r="Z228" s="192"/>
      <c r="AA228" s="192"/>
      <c r="AB228" s="223">
        <f>AB225*AB227</f>
        <v>43.442616374582684</v>
      </c>
      <c r="AC228" s="200">
        <f t="shared" ref="AC228" si="3633">AC225*AC227</f>
        <v>41.299126144040358</v>
      </c>
      <c r="AD228" s="200">
        <f t="shared" ref="AD228" si="3634">AD225*AD227</f>
        <v>39.127536093025036</v>
      </c>
      <c r="AE228" s="200">
        <f t="shared" ref="AE228" si="3635">AE225*AE227</f>
        <v>36.927438779878933</v>
      </c>
      <c r="AF228" s="200">
        <f t="shared" ref="AF228" si="3636">AF225*AF227</f>
        <v>20.819052538826512</v>
      </c>
      <c r="AG228" s="200">
        <f t="shared" ref="AG228" si="3637">AG225*AG227</f>
        <v>19.46403791495894</v>
      </c>
      <c r="AH228" s="200">
        <f t="shared" ref="AH228" si="3638">AH225*AH227</f>
        <v>18.091164221743639</v>
      </c>
      <c r="AI228" s="200">
        <f t="shared" ref="AI228" si="3639">AI225*AI227</f>
        <v>16.700172611423156</v>
      </c>
      <c r="AJ228" s="200">
        <f t="shared" ref="AJ228" si="3640">AJ225*AJ227</f>
        <v>15.290800510163617</v>
      </c>
      <c r="AK228" s="200">
        <f t="shared" ref="AK228" si="3641">AK225*AK227</f>
        <v>13.862781564392893</v>
      </c>
      <c r="AL228" s="200">
        <f t="shared" ref="AL228" si="3642">AL225*AL227</f>
        <v>12.415845586366006</v>
      </c>
      <c r="AM228" s="200">
        <f t="shared" ref="AM228" si="3643">AM225*AM227</f>
        <v>10.94971849894659</v>
      </c>
      <c r="AN228" s="200">
        <f t="shared" ref="AN228" si="3644">AN225*AN227</f>
        <v>9.4641222795931448</v>
      </c>
      <c r="AO228" s="200">
        <f t="shared" ref="AO228" si="3645">AO225*AO227</f>
        <v>7.9587749035386226</v>
      </c>
      <c r="AP228" s="200">
        <f t="shared" ref="AP228" si="3646">AP225*AP227</f>
        <v>6.43339028615173</v>
      </c>
      <c r="AQ228" s="200">
        <f t="shared" ref="AQ228" si="3647">AQ225*AQ227</f>
        <v>4.8876782244681598</v>
      </c>
      <c r="AR228" s="200">
        <f t="shared" ref="AR228" si="3648">AR225*AR227</f>
        <v>3.3213443378798115</v>
      </c>
      <c r="AS228" s="200">
        <f t="shared" ref="AS228" si="3649">AS225*AS227</f>
        <v>1.7340900079698509</v>
      </c>
      <c r="AT228" s="200">
        <f t="shared" ref="AT228" si="3650">AT225*AT227</f>
        <v>0.12561231748133006</v>
      </c>
      <c r="AU228" s="200">
        <f t="shared" ref="AU228" si="3651">AU225*AU227</f>
        <v>0</v>
      </c>
      <c r="AV228" s="200">
        <f t="shared" ref="AV228" si="3652">AV225*AV227</f>
        <v>0</v>
      </c>
      <c r="AW228" s="200">
        <f t="shared" ref="AW228" si="3653">AW225*AW227</f>
        <v>0</v>
      </c>
      <c r="AX228" s="200">
        <f t="shared" ref="AX228" si="3654">AX225*AX227</f>
        <v>0</v>
      </c>
      <c r="AY228" s="200">
        <f t="shared" ref="AY228" si="3655">AY225*AY227</f>
        <v>0</v>
      </c>
      <c r="AZ228" s="200">
        <f t="shared" ref="AZ228" si="3656">AZ225*AZ227</f>
        <v>0</v>
      </c>
      <c r="BA228" s="200">
        <f t="shared" ref="BA228" si="3657">BA225*BA227</f>
        <v>0</v>
      </c>
      <c r="BB228" s="200">
        <f t="shared" ref="BB228" si="3658">BB225*BB227</f>
        <v>0</v>
      </c>
      <c r="BC228" s="200">
        <f t="shared" ref="BC228" si="3659">BC225*BC227</f>
        <v>0</v>
      </c>
      <c r="BD228" s="200">
        <f t="shared" ref="BD228" si="3660">BD225*BD227</f>
        <v>0</v>
      </c>
      <c r="BE228" s="200">
        <f t="shared" ref="BE228" si="3661">BE225*BE227</f>
        <v>0</v>
      </c>
      <c r="BF228" s="200">
        <f t="shared" ref="BF228" si="3662">BF225*BF227</f>
        <v>0</v>
      </c>
      <c r="BG228" s="200">
        <f t="shared" ref="BG228" si="3663">BG225*BG227</f>
        <v>0</v>
      </c>
      <c r="BH228" s="200">
        <f t="shared" ref="BH228" si="3664">BH225*BH227</f>
        <v>0</v>
      </c>
      <c r="BI228" s="200">
        <f t="shared" ref="BI228" si="3665">BI225*BI227</f>
        <v>0</v>
      </c>
      <c r="BJ228" s="200">
        <f t="shared" ref="BJ228" si="3666">BJ225*BJ227</f>
        <v>0</v>
      </c>
      <c r="BK228" s="200">
        <f t="shared" ref="BK228" si="3667">BK225*BK227</f>
        <v>0</v>
      </c>
    </row>
    <row r="229" spans="1:63" ht="7.8" x14ac:dyDescent="0.15">
      <c r="A229" s="206" t="s">
        <v>97</v>
      </c>
      <c r="B229" s="192"/>
      <c r="C229" s="192"/>
      <c r="D229" s="192"/>
      <c r="E229" s="192"/>
      <c r="F229" s="192"/>
      <c r="G229" s="192"/>
      <c r="H229" s="192"/>
      <c r="I229" s="192"/>
      <c r="J229" s="192"/>
      <c r="K229" s="192"/>
      <c r="L229" s="192"/>
      <c r="M229" s="192"/>
      <c r="N229" s="192"/>
      <c r="O229" s="192"/>
      <c r="P229" s="192"/>
      <c r="Q229" s="192"/>
      <c r="R229" s="192"/>
      <c r="S229" s="192"/>
      <c r="T229" s="192"/>
      <c r="U229" s="192"/>
      <c r="V229" s="192"/>
      <c r="W229" s="192"/>
      <c r="X229" s="192"/>
      <c r="Y229" s="192"/>
      <c r="Z229" s="192"/>
      <c r="AA229" s="192"/>
      <c r="AB229" s="223">
        <f>AB226*AB227</f>
        <v>136.35566036313568</v>
      </c>
      <c r="AC229" s="200">
        <f>AC226*AC227</f>
        <v>138.3193523169403</v>
      </c>
      <c r="AD229" s="200">
        <f t="shared" ref="AD229:BK229" si="3668">AD226*AD227</f>
        <v>140.31132388949464</v>
      </c>
      <c r="AE229" s="200">
        <f t="shared" si="3668"/>
        <v>142.33198234265822</v>
      </c>
      <c r="AF229" s="200">
        <f t="shared" si="3668"/>
        <v>86.629044482022266</v>
      </c>
      <c r="AG229" s="200">
        <f t="shared" si="3668"/>
        <v>87.876611008868977</v>
      </c>
      <c r="AH229" s="200">
        <f t="shared" si="3668"/>
        <v>89.14214405316045</v>
      </c>
      <c r="AI229" s="200">
        <f t="shared" si="3668"/>
        <v>90.42590235520602</v>
      </c>
      <c r="AJ229" s="200">
        <f t="shared" si="3668"/>
        <v>91.72814838149894</v>
      </c>
      <c r="AK229" s="200">
        <f t="shared" si="3668"/>
        <v>93.049148378377993</v>
      </c>
      <c r="AL229" s="200">
        <f t="shared" si="3668"/>
        <v>94.389172426462096</v>
      </c>
      <c r="AM229" s="200">
        <f t="shared" si="3668"/>
        <v>95.748494495868698</v>
      </c>
      <c r="AN229" s="200">
        <f t="shared" si="3668"/>
        <v>97.127392502227323</v>
      </c>
      <c r="AO229" s="200">
        <f t="shared" si="3668"/>
        <v>98.526148363500027</v>
      </c>
      <c r="AP229" s="200">
        <f t="shared" si="3668"/>
        <v>99.9450480576199</v>
      </c>
      <c r="AQ229" s="200">
        <f t="shared" si="3668"/>
        <v>101.38438168095969</v>
      </c>
      <c r="AR229" s="200">
        <f t="shared" si="3668"/>
        <v>102.84444350764262</v>
      </c>
      <c r="AS229" s="200">
        <f t="shared" si="3668"/>
        <v>104.32553204970706</v>
      </c>
      <c r="AT229" s="200">
        <f t="shared" si="3668"/>
        <v>105.82795011813792</v>
      </c>
      <c r="AU229" s="200">
        <f t="shared" si="3668"/>
        <v>0</v>
      </c>
      <c r="AV229" s="200">
        <f t="shared" si="3668"/>
        <v>0</v>
      </c>
      <c r="AW229" s="200">
        <f t="shared" si="3668"/>
        <v>0</v>
      </c>
      <c r="AX229" s="200">
        <f t="shared" si="3668"/>
        <v>0</v>
      </c>
      <c r="AY229" s="200">
        <f t="shared" si="3668"/>
        <v>0</v>
      </c>
      <c r="AZ229" s="200">
        <f t="shared" si="3668"/>
        <v>0</v>
      </c>
      <c r="BA229" s="200">
        <f t="shared" si="3668"/>
        <v>0</v>
      </c>
      <c r="BB229" s="200">
        <f t="shared" si="3668"/>
        <v>0</v>
      </c>
      <c r="BC229" s="200">
        <f t="shared" si="3668"/>
        <v>0</v>
      </c>
      <c r="BD229" s="200">
        <f t="shared" si="3668"/>
        <v>0</v>
      </c>
      <c r="BE229" s="200">
        <f t="shared" si="3668"/>
        <v>0</v>
      </c>
      <c r="BF229" s="200">
        <f t="shared" si="3668"/>
        <v>0</v>
      </c>
      <c r="BG229" s="200">
        <f t="shared" si="3668"/>
        <v>0</v>
      </c>
      <c r="BH229" s="200">
        <f t="shared" si="3668"/>
        <v>0</v>
      </c>
      <c r="BI229" s="200">
        <f t="shared" si="3668"/>
        <v>0</v>
      </c>
      <c r="BJ229" s="200">
        <f t="shared" si="3668"/>
        <v>0</v>
      </c>
      <c r="BK229" s="200">
        <f t="shared" si="3668"/>
        <v>0</v>
      </c>
    </row>
    <row r="230" spans="1:63" ht="7.8" x14ac:dyDescent="0.15">
      <c r="A230" s="208" t="s">
        <v>203</v>
      </c>
      <c r="B230" s="192"/>
      <c r="C230" s="192"/>
      <c r="D230" s="192"/>
      <c r="E230" s="192"/>
      <c r="F230" s="192"/>
      <c r="G230" s="192"/>
      <c r="H230" s="192"/>
      <c r="I230" s="192"/>
      <c r="J230" s="192"/>
      <c r="K230" s="192"/>
      <c r="L230" s="192"/>
      <c r="M230" s="192"/>
      <c r="N230" s="192"/>
      <c r="O230" s="192"/>
      <c r="P230" s="192"/>
      <c r="Q230" s="192"/>
      <c r="R230" s="192"/>
      <c r="S230" s="192"/>
      <c r="T230" s="192"/>
      <c r="U230" s="192"/>
      <c r="V230" s="192"/>
      <c r="W230" s="192"/>
      <c r="X230" s="192"/>
      <c r="Y230" s="192"/>
      <c r="Z230" s="192"/>
      <c r="AA230" s="192"/>
      <c r="AB230" s="224">
        <f>IF(AB222-101&lt;&gt;LoanSaleHeld,0,SUM($D229:AB229)*LoanSalePercent)</f>
        <v>0</v>
      </c>
      <c r="AC230" s="225">
        <f>IF(AC222-101&lt;&gt;LoanSaleHeld,0,SUM($D229:AC229)*LoanSalePercent)</f>
        <v>0</v>
      </c>
      <c r="AD230" s="225">
        <f>IF(AD222-101&lt;&gt;LoanSaleHeld,0,SUM($D229:AD229)*LoanSalePercent)</f>
        <v>0</v>
      </c>
      <c r="AE230" s="225">
        <f>IF(AE222-101&lt;&gt;LoanSaleHeld,0,SUM($D229:AE229)*LoanSalePercent)</f>
        <v>222.92732756489156</v>
      </c>
      <c r="AF230" s="225">
        <f>IF(AF222-101&lt;&gt;LoanSaleHeld,0,SUM($D229:AF229)*LoanSalePercent)</f>
        <v>0</v>
      </c>
      <c r="AG230" s="225">
        <f>IF(AG222-101&lt;&gt;LoanSaleHeld,0,SUM($D229:AG229)*LoanSalePercent)</f>
        <v>0</v>
      </c>
      <c r="AH230" s="225">
        <f>IF(AH222-101&lt;&gt;LoanSaleHeld,0,SUM($D229:AH229)*LoanSalePercent)</f>
        <v>0</v>
      </c>
      <c r="AI230" s="225">
        <f>IF(AI222-101&lt;&gt;LoanSaleHeld,0,SUM($D229:AI229)*LoanSalePercent)</f>
        <v>0</v>
      </c>
      <c r="AJ230" s="225">
        <f>IF(AJ222-101&lt;&gt;LoanSaleHeld,0,SUM($D229:AJ229)*LoanSalePercent)</f>
        <v>0</v>
      </c>
      <c r="AK230" s="225">
        <f>IF(AK222-101&lt;&gt;LoanSaleHeld,0,SUM($D229:AK229)*LoanSalePercent)</f>
        <v>0</v>
      </c>
      <c r="AL230" s="225">
        <f>IF(AL222-101&lt;&gt;LoanSaleHeld,0,SUM($D229:AL229)*LoanSalePercent)</f>
        <v>0</v>
      </c>
      <c r="AM230" s="225">
        <f>IF(AM222-101&lt;&gt;LoanSaleHeld,0,SUM($D229:AM229)*LoanSalePercent)</f>
        <v>0</v>
      </c>
      <c r="AN230" s="225">
        <f>IF(AN222-101&lt;&gt;LoanSaleHeld,0,SUM($D229:AN229)*LoanSalePercent)</f>
        <v>0</v>
      </c>
      <c r="AO230" s="225">
        <f>IF(AO222-101&lt;&gt;LoanSaleHeld,0,SUM($D229:AO229)*LoanSalePercent)</f>
        <v>0</v>
      </c>
      <c r="AP230" s="225">
        <f>IF(AP222-101&lt;&gt;LoanSaleHeld,0,SUM($D229:AP229)*LoanSalePercent)</f>
        <v>0</v>
      </c>
      <c r="AQ230" s="225">
        <f>IF(AQ222-101&lt;&gt;LoanSaleHeld,0,SUM($D229:AQ229)*LoanSalePercent)</f>
        <v>0</v>
      </c>
      <c r="AR230" s="225">
        <f>IF(AR222-101&lt;&gt;LoanSaleHeld,0,SUM($D229:AR229)*LoanSalePercent)</f>
        <v>0</v>
      </c>
      <c r="AS230" s="225">
        <f>IF(AS222-101&lt;&gt;LoanSaleHeld,0,SUM($D229:AS229)*LoanSalePercent)</f>
        <v>0</v>
      </c>
      <c r="AT230" s="225">
        <f>IF(AT222-101&lt;&gt;LoanSaleHeld,0,SUM($D229:AT229)*LoanSalePercent)</f>
        <v>0</v>
      </c>
      <c r="AU230" s="225">
        <f>IF(AU222-101&lt;&gt;LoanSaleHeld,0,SUM($D229:AU229)*LoanSalePercent)</f>
        <v>0</v>
      </c>
      <c r="AV230" s="225">
        <f>IF(AV222-101&lt;&gt;LoanSaleHeld,0,SUM($D229:AV229)*LoanSalePercent)</f>
        <v>0</v>
      </c>
      <c r="AW230" s="225">
        <f>IF(AW222-101&lt;&gt;LoanSaleHeld,0,SUM($D229:AW229)*LoanSalePercent)</f>
        <v>0</v>
      </c>
      <c r="AX230" s="225">
        <f>IF(AX222-101&lt;&gt;LoanSaleHeld,0,SUM($D229:AX229)*LoanSalePercent)</f>
        <v>0</v>
      </c>
      <c r="AY230" s="225">
        <f>IF(AY222-101&lt;&gt;LoanSaleHeld,0,SUM($D229:AY229)*LoanSalePercent)</f>
        <v>0</v>
      </c>
      <c r="AZ230" s="225">
        <f>IF(AZ222-101&lt;&gt;LoanSaleHeld,0,SUM($D229:AZ229)*LoanSalePercent)</f>
        <v>0</v>
      </c>
      <c r="BA230" s="225">
        <f>IF(BA222-101&lt;&gt;LoanSaleHeld,0,SUM($D229:BA229)*LoanSalePercent)</f>
        <v>0</v>
      </c>
      <c r="BB230" s="225">
        <f>IF(BB222-101&lt;&gt;LoanSaleHeld,0,SUM($D229:BB229)*LoanSalePercent)</f>
        <v>0</v>
      </c>
      <c r="BC230" s="225">
        <f>IF(BC222-101&lt;&gt;LoanSaleHeld,0,SUM($D229:BC229)*LoanSalePercent)</f>
        <v>0</v>
      </c>
      <c r="BD230" s="225">
        <f>IF(BD222-101&lt;&gt;LoanSaleHeld,0,SUM($D229:BD229)*LoanSalePercent)</f>
        <v>0</v>
      </c>
      <c r="BE230" s="225">
        <f>IF(BE222-101&lt;&gt;LoanSaleHeld,0,SUM($D229:BE229)*LoanSalePercent)</f>
        <v>0</v>
      </c>
      <c r="BF230" s="225">
        <f>IF(BF222-101&lt;&gt;LoanSaleHeld,0,SUM($D229:BF229)*LoanSalePercent)</f>
        <v>0</v>
      </c>
      <c r="BG230" s="225">
        <f>IF(BG222-101&lt;&gt;LoanSaleHeld,0,SUM($D229:BG229)*LoanSalePercent)</f>
        <v>0</v>
      </c>
      <c r="BH230" s="225">
        <f>IF(BH222-101&lt;&gt;LoanSaleHeld,0,SUM($D229:BH229)*LoanSalePercent)</f>
        <v>0</v>
      </c>
      <c r="BI230" s="225">
        <f>IF(BI222-101&lt;&gt;LoanSaleHeld,0,SUM($D229:BI229)*LoanSalePercent)</f>
        <v>0</v>
      </c>
      <c r="BJ230" s="225">
        <f>IF(BJ222-101&lt;&gt;LoanSaleHeld,0,SUM($D229:BJ229)*LoanSalePercent)</f>
        <v>0</v>
      </c>
      <c r="BK230" s="225">
        <f>IF(BK222-101&lt;&gt;LoanSaleHeld,0,SUM($D229:BK229)*LoanSalePercent)</f>
        <v>0</v>
      </c>
    </row>
    <row r="231" spans="1:63" ht="7.8" x14ac:dyDescent="0.15">
      <c r="A231" s="204">
        <f t="shared" ref="A231" si="3669">A222+1</f>
        <v>26</v>
      </c>
      <c r="B231" s="192"/>
      <c r="C231" s="192"/>
      <c r="D231" s="192"/>
      <c r="E231" s="192"/>
      <c r="F231" s="192"/>
      <c r="G231" s="192"/>
      <c r="H231" s="192"/>
      <c r="I231" s="192"/>
      <c r="J231" s="192"/>
      <c r="K231" s="192"/>
      <c r="L231" s="192"/>
      <c r="M231" s="192"/>
      <c r="N231" s="192"/>
      <c r="O231" s="192"/>
      <c r="P231" s="192"/>
      <c r="Q231" s="192"/>
      <c r="R231" s="192"/>
      <c r="S231" s="192"/>
      <c r="T231" s="192"/>
      <c r="U231" s="192"/>
      <c r="V231" s="192"/>
      <c r="W231" s="192"/>
      <c r="X231" s="192"/>
      <c r="Y231" s="192"/>
      <c r="Z231" s="192"/>
      <c r="AA231" s="192"/>
      <c r="AB231" s="192"/>
      <c r="AC231" s="195">
        <v>101</v>
      </c>
      <c r="AD231" s="196">
        <f t="shared" ref="AD231" si="3670">IF(AD232=0,0,AC231+1)</f>
        <v>102</v>
      </c>
      <c r="AE231" s="196">
        <f t="shared" ref="AE231" si="3671">IF(AE232=0,0,AD231+1)</f>
        <v>103</v>
      </c>
      <c r="AF231" s="196">
        <f t="shared" ref="AF231" si="3672">IF(AF232=0,0,AE231+1)</f>
        <v>104</v>
      </c>
      <c r="AG231" s="196">
        <f t="shared" ref="AG231" si="3673">IF(AG232=0,0,AF231+1)</f>
        <v>105</v>
      </c>
      <c r="AH231" s="196">
        <f t="shared" ref="AH231" si="3674">IF(AH232=0,0,AG231+1)</f>
        <v>106</v>
      </c>
      <c r="AI231" s="196">
        <f t="shared" ref="AI231" si="3675">IF(AI232=0,0,AH231+1)</f>
        <v>107</v>
      </c>
      <c r="AJ231" s="196">
        <f t="shared" ref="AJ231" si="3676">IF(AJ232=0,0,AI231+1)</f>
        <v>108</v>
      </c>
      <c r="AK231" s="196">
        <f t="shared" ref="AK231" si="3677">IF(AK232=0,0,AJ231+1)</f>
        <v>109</v>
      </c>
      <c r="AL231" s="196">
        <f t="shared" ref="AL231" si="3678">IF(AL232=0,0,AK231+1)</f>
        <v>110</v>
      </c>
      <c r="AM231" s="196">
        <f t="shared" ref="AM231" si="3679">IF(AM232=0,0,AL231+1)</f>
        <v>111</v>
      </c>
      <c r="AN231" s="196">
        <f t="shared" ref="AN231" si="3680">IF(AN232=0,0,AM231+1)</f>
        <v>112</v>
      </c>
      <c r="AO231" s="196">
        <f t="shared" ref="AO231" si="3681">IF(AO232=0,0,AN231+1)</f>
        <v>113</v>
      </c>
      <c r="AP231" s="196">
        <f t="shared" ref="AP231" si="3682">IF(AP232=0,0,AO231+1)</f>
        <v>114</v>
      </c>
      <c r="AQ231" s="196">
        <f t="shared" ref="AQ231" si="3683">IF(AQ232=0,0,AP231+1)</f>
        <v>115</v>
      </c>
      <c r="AR231" s="196">
        <f t="shared" ref="AR231" si="3684">IF(AR232=0,0,AQ231+1)</f>
        <v>116</v>
      </c>
      <c r="AS231" s="196">
        <f t="shared" ref="AS231" si="3685">IF(AS232=0,0,AR231+1)</f>
        <v>0</v>
      </c>
      <c r="AT231" s="196">
        <f t="shared" ref="AT231" si="3686">IF(AT232=0,0,AS231+1)</f>
        <v>0</v>
      </c>
      <c r="AU231" s="196">
        <f t="shared" ref="AU231" si="3687">IF(AU232=0,0,AT231+1)</f>
        <v>0</v>
      </c>
      <c r="AV231" s="196">
        <f t="shared" ref="AV231" si="3688">IF(AV232=0,0,AU231+1)</f>
        <v>0</v>
      </c>
      <c r="AW231" s="196">
        <f t="shared" ref="AW231" si="3689">IF(AW232=0,0,AV231+1)</f>
        <v>0</v>
      </c>
      <c r="AX231" s="196">
        <f t="shared" ref="AX231" si="3690">IF(AX232=0,0,AW231+1)</f>
        <v>0</v>
      </c>
      <c r="AY231" s="196">
        <f t="shared" ref="AY231" si="3691">IF(AY232=0,0,AX231+1)</f>
        <v>0</v>
      </c>
      <c r="AZ231" s="196">
        <f t="shared" ref="AZ231" si="3692">IF(AZ232=0,0,AY231+1)</f>
        <v>0</v>
      </c>
      <c r="BA231" s="196">
        <f t="shared" ref="BA231" si="3693">IF(BA232=0,0,AZ231+1)</f>
        <v>0</v>
      </c>
      <c r="BB231" s="196">
        <f t="shared" ref="BB231" si="3694">IF(BB232=0,0,BA231+1)</f>
        <v>0</v>
      </c>
      <c r="BC231" s="196">
        <f t="shared" ref="BC231" si="3695">IF(BC232=0,0,BB231+1)</f>
        <v>0</v>
      </c>
      <c r="BD231" s="196">
        <f t="shared" ref="BD231" si="3696">IF(BD232=0,0,BC231+1)</f>
        <v>0</v>
      </c>
      <c r="BE231" s="196">
        <f t="shared" ref="BE231" si="3697">IF(BE232=0,0,BD231+1)</f>
        <v>0</v>
      </c>
      <c r="BF231" s="196">
        <f t="shared" ref="BF231" si="3698">IF(BF232=0,0,BE231+1)</f>
        <v>0</v>
      </c>
      <c r="BG231" s="196">
        <f t="shared" ref="BG231" si="3699">IF(BG232=0,0,BF231+1)</f>
        <v>0</v>
      </c>
      <c r="BH231" s="196">
        <f t="shared" ref="BH231" si="3700">IF(BH232=0,0,BG231+1)</f>
        <v>0</v>
      </c>
      <c r="BI231" s="196">
        <f t="shared" ref="BI231" si="3701">IF(BI232=0,0,BH231+1)</f>
        <v>0</v>
      </c>
      <c r="BJ231" s="196">
        <f t="shared" ref="BJ231" si="3702">IF(BJ232=0,0,BI231+1)</f>
        <v>0</v>
      </c>
      <c r="BK231" s="196">
        <f t="shared" ref="BK231" si="3703">IF(BK232=0,0,BJ231+1)</f>
        <v>0</v>
      </c>
    </row>
    <row r="232" spans="1:63" ht="7.8" x14ac:dyDescent="0.15">
      <c r="A232" s="216" t="s">
        <v>178</v>
      </c>
      <c r="B232" s="192"/>
      <c r="C232" s="192"/>
      <c r="D232" s="192"/>
      <c r="E232" s="192"/>
      <c r="F232" s="192"/>
      <c r="G232" s="192"/>
      <c r="H232" s="192"/>
      <c r="I232" s="192"/>
      <c r="J232" s="192"/>
      <c r="K232" s="192"/>
      <c r="L232" s="192"/>
      <c r="M232" s="192"/>
      <c r="N232" s="192"/>
      <c r="O232" s="192"/>
      <c r="P232" s="192"/>
      <c r="Q232" s="192"/>
      <c r="R232" s="192"/>
      <c r="S232" s="192"/>
      <c r="T232" s="192"/>
      <c r="U232" s="192"/>
      <c r="V232" s="192"/>
      <c r="W232" s="192"/>
      <c r="X232" s="192"/>
      <c r="Y232" s="192"/>
      <c r="Z232" s="192"/>
      <c r="AA232" s="192"/>
      <c r="AB232" s="192"/>
      <c r="AC232" s="217">
        <f>LoanSize</f>
        <v>25</v>
      </c>
      <c r="AD232" s="215">
        <f>IF(AC232-AC235&lt;=0.1,0,AC232-AC235)</f>
        <v>23.404855455869676</v>
      </c>
      <c r="AE232" s="215">
        <f t="shared" ref="AE232:BK232" si="3704">IF(AD232-AD235&lt;=0.1,0,AD232-AD235)</f>
        <v>21.809710911739352</v>
      </c>
      <c r="AF232" s="215">
        <f t="shared" si="3704"/>
        <v>20.214566367609027</v>
      </c>
      <c r="AG232" s="215">
        <f t="shared" si="3704"/>
        <v>18.619421823478703</v>
      </c>
      <c r="AH232" s="215">
        <f t="shared" si="3704"/>
        <v>17.024277279348379</v>
      </c>
      <c r="AI232" s="215">
        <f t="shared" si="3704"/>
        <v>15.429132735218055</v>
      </c>
      <c r="AJ232" s="215">
        <f t="shared" si="3704"/>
        <v>13.83398819108773</v>
      </c>
      <c r="AK232" s="215">
        <f t="shared" si="3704"/>
        <v>12.238843646957406</v>
      </c>
      <c r="AL232" s="215">
        <f t="shared" si="3704"/>
        <v>10.643699102827082</v>
      </c>
      <c r="AM232" s="215">
        <f t="shared" si="3704"/>
        <v>9.0485545586967575</v>
      </c>
      <c r="AN232" s="215">
        <f t="shared" si="3704"/>
        <v>7.4534100145664324</v>
      </c>
      <c r="AO232" s="215">
        <f t="shared" si="3704"/>
        <v>5.8582654704361072</v>
      </c>
      <c r="AP232" s="215">
        <f t="shared" si="3704"/>
        <v>4.2631209263057821</v>
      </c>
      <c r="AQ232" s="215">
        <f t="shared" si="3704"/>
        <v>2.667976382175457</v>
      </c>
      <c r="AR232" s="215">
        <f t="shared" si="3704"/>
        <v>1.0728318380451318</v>
      </c>
      <c r="AS232" s="215">
        <f t="shared" si="3704"/>
        <v>0</v>
      </c>
      <c r="AT232" s="215">
        <f t="shared" si="3704"/>
        <v>0</v>
      </c>
      <c r="AU232" s="215">
        <f t="shared" si="3704"/>
        <v>0</v>
      </c>
      <c r="AV232" s="215">
        <f t="shared" si="3704"/>
        <v>0</v>
      </c>
      <c r="AW232" s="215">
        <f t="shared" si="3704"/>
        <v>0</v>
      </c>
      <c r="AX232" s="215">
        <f t="shared" si="3704"/>
        <v>0</v>
      </c>
      <c r="AY232" s="215">
        <f t="shared" si="3704"/>
        <v>0</v>
      </c>
      <c r="AZ232" s="215">
        <f t="shared" si="3704"/>
        <v>0</v>
      </c>
      <c r="BA232" s="215">
        <f t="shared" si="3704"/>
        <v>0</v>
      </c>
      <c r="BB232" s="215">
        <f t="shared" si="3704"/>
        <v>0</v>
      </c>
      <c r="BC232" s="215">
        <f t="shared" si="3704"/>
        <v>0</v>
      </c>
      <c r="BD232" s="215">
        <f t="shared" si="3704"/>
        <v>0</v>
      </c>
      <c r="BE232" s="215">
        <f t="shared" si="3704"/>
        <v>0</v>
      </c>
      <c r="BF232" s="215">
        <f t="shared" si="3704"/>
        <v>0</v>
      </c>
      <c r="BG232" s="215">
        <f t="shared" si="3704"/>
        <v>0</v>
      </c>
      <c r="BH232" s="215">
        <f t="shared" si="3704"/>
        <v>0</v>
      </c>
      <c r="BI232" s="215">
        <f t="shared" si="3704"/>
        <v>0</v>
      </c>
      <c r="BJ232" s="215">
        <f t="shared" si="3704"/>
        <v>0</v>
      </c>
      <c r="BK232" s="215">
        <f t="shared" si="3704"/>
        <v>0</v>
      </c>
    </row>
    <row r="233" spans="1:63" ht="7.8" x14ac:dyDescent="0.15">
      <c r="A233" s="218" t="s">
        <v>179</v>
      </c>
      <c r="B233" s="192"/>
      <c r="C233" s="192"/>
      <c r="D233" s="192"/>
      <c r="E233" s="192"/>
      <c r="F233" s="192"/>
      <c r="G233" s="192"/>
      <c r="H233" s="192"/>
      <c r="I233" s="192"/>
      <c r="J233" s="192"/>
      <c r="K233" s="192"/>
      <c r="L233" s="192"/>
      <c r="M233" s="192"/>
      <c r="N233" s="192"/>
      <c r="O233" s="192"/>
      <c r="P233" s="192"/>
      <c r="Q233" s="192"/>
      <c r="R233" s="192"/>
      <c r="S233" s="192"/>
      <c r="T233" s="192"/>
      <c r="U233" s="192"/>
      <c r="V233" s="192"/>
      <c r="W233" s="192"/>
      <c r="X233" s="192"/>
      <c r="Y233" s="192"/>
      <c r="Z233" s="192"/>
      <c r="AA233" s="192"/>
      <c r="AB233" s="192"/>
      <c r="AC233" s="219">
        <f>IF(AC232=0,0,PMT(INDEX(LoanCohortRate,1),LoanTerm, -LoanSize))</f>
        <v>1.5951445441303251</v>
      </c>
      <c r="AD233" s="222">
        <f t="shared" ref="AD233" si="3705">IF(AD232=0,0, AC233)</f>
        <v>1.5951445441303251</v>
      </c>
      <c r="AE233" s="222">
        <f t="shared" ref="AE233" si="3706">IF(AE232=0,0, AD233)</f>
        <v>1.5951445441303251</v>
      </c>
      <c r="AF233" s="222">
        <f t="shared" ref="AF233" si="3707">IF(AF232=0,0, AE233)</f>
        <v>1.5951445441303251</v>
      </c>
      <c r="AG233" s="222">
        <f t="shared" ref="AG233" si="3708">IF(AG232=0,0, AF233)</f>
        <v>1.5951445441303251</v>
      </c>
      <c r="AH233" s="222">
        <f t="shared" ref="AH233" si="3709">IF(AH232=0,0, AG233)</f>
        <v>1.5951445441303251</v>
      </c>
      <c r="AI233" s="222">
        <f t="shared" ref="AI233" si="3710">IF(AI232=0,0, AH233)</f>
        <v>1.5951445441303251</v>
      </c>
      <c r="AJ233" s="222">
        <f t="shared" ref="AJ233" si="3711">IF(AJ232=0,0, AI233)</f>
        <v>1.5951445441303251</v>
      </c>
      <c r="AK233" s="222">
        <f t="shared" ref="AK233" si="3712">IF(AK232=0,0, AJ233)</f>
        <v>1.5951445441303251</v>
      </c>
      <c r="AL233" s="222">
        <f t="shared" ref="AL233" si="3713">IF(AL232=0,0, AK233)</f>
        <v>1.5951445441303251</v>
      </c>
      <c r="AM233" s="222">
        <f t="shared" ref="AM233" si="3714">IF(AM232=0,0, AL233)</f>
        <v>1.5951445441303251</v>
      </c>
      <c r="AN233" s="222">
        <f t="shared" ref="AN233" si="3715">IF(AN232=0,0, AM233)</f>
        <v>1.5951445441303251</v>
      </c>
      <c r="AO233" s="222">
        <f t="shared" ref="AO233" si="3716">IF(AO232=0,0, AN233)</f>
        <v>1.5951445441303251</v>
      </c>
      <c r="AP233" s="222">
        <f t="shared" ref="AP233" si="3717">IF(AP232=0,0, AO233)</f>
        <v>1.5951445441303251</v>
      </c>
      <c r="AQ233" s="222">
        <f t="shared" ref="AQ233" si="3718">IF(AQ232=0,0, AP233)</f>
        <v>1.5951445441303251</v>
      </c>
      <c r="AR233" s="222">
        <f t="shared" ref="AR233" si="3719">IF(AR232=0,0, AQ233)</f>
        <v>1.5951445441303251</v>
      </c>
      <c r="AS233" s="222">
        <f t="shared" ref="AS233" si="3720">IF(AS232=0,0, AR233)</f>
        <v>0</v>
      </c>
      <c r="AT233" s="222">
        <f t="shared" ref="AT233" si="3721">IF(AT232=0,0, AS233)</f>
        <v>0</v>
      </c>
      <c r="AU233" s="222">
        <f t="shared" ref="AU233" si="3722">IF(AU232=0,0, AT233)</f>
        <v>0</v>
      </c>
      <c r="AV233" s="222">
        <f t="shared" ref="AV233" si="3723">IF(AV232=0,0, AU233)</f>
        <v>0</v>
      </c>
      <c r="AW233" s="222">
        <f t="shared" ref="AW233" si="3724">IF(AW232=0,0, AV233)</f>
        <v>0</v>
      </c>
      <c r="AX233" s="222">
        <f t="shared" ref="AX233" si="3725">IF(AX232=0,0, AW233)</f>
        <v>0</v>
      </c>
      <c r="AY233" s="222">
        <f t="shared" ref="AY233" si="3726">IF(AY232=0,0, AX233)</f>
        <v>0</v>
      </c>
      <c r="AZ233" s="222">
        <f t="shared" ref="AZ233" si="3727">IF(AZ232=0,0, AY233)</f>
        <v>0</v>
      </c>
      <c r="BA233" s="222">
        <f t="shared" ref="BA233" si="3728">IF(BA232=0,0, AZ233)</f>
        <v>0</v>
      </c>
      <c r="BB233" s="222">
        <f t="shared" ref="BB233" si="3729">IF(BB232=0,0, BA233)</f>
        <v>0</v>
      </c>
      <c r="BC233" s="222">
        <f t="shared" ref="BC233" si="3730">IF(BC232=0,0, BB233)</f>
        <v>0</v>
      </c>
      <c r="BD233" s="222">
        <f t="shared" ref="BD233" si="3731">IF(BD232=0,0, BC233)</f>
        <v>0</v>
      </c>
      <c r="BE233" s="222">
        <f t="shared" ref="BE233" si="3732">IF(BE232=0,0, BD233)</f>
        <v>0</v>
      </c>
      <c r="BF233" s="222">
        <f t="shared" ref="BF233" si="3733">IF(BF232=0,0, BE233)</f>
        <v>0</v>
      </c>
      <c r="BG233" s="222">
        <f t="shared" ref="BG233" si="3734">IF(BG232=0,0, BF233)</f>
        <v>0</v>
      </c>
      <c r="BH233" s="222">
        <f t="shared" ref="BH233" si="3735">IF(BH232=0,0, BG233)</f>
        <v>0</v>
      </c>
      <c r="BI233" s="222">
        <f t="shared" ref="BI233" si="3736">IF(BI232=0,0, BH233)</f>
        <v>0</v>
      </c>
      <c r="BJ233" s="222">
        <f t="shared" ref="BJ233" si="3737">IF(BJ232=0,0, BI233)</f>
        <v>0</v>
      </c>
      <c r="BK233" s="222">
        <f t="shared" ref="BK233" si="3738">IF(BK232=0,0, BJ233)</f>
        <v>0</v>
      </c>
    </row>
    <row r="234" spans="1:63" ht="7.8" x14ac:dyDescent="0.15">
      <c r="A234" s="218" t="s">
        <v>180</v>
      </c>
      <c r="B234" s="192"/>
      <c r="C234" s="192"/>
      <c r="D234" s="192"/>
      <c r="E234" s="192"/>
      <c r="F234" s="192"/>
      <c r="G234" s="192"/>
      <c r="H234" s="192"/>
      <c r="I234" s="192"/>
      <c r="J234" s="192"/>
      <c r="K234" s="192"/>
      <c r="L234" s="192"/>
      <c r="M234" s="192"/>
      <c r="N234" s="192"/>
      <c r="O234" s="192"/>
      <c r="P234" s="192"/>
      <c r="Q234" s="192"/>
      <c r="R234" s="192"/>
      <c r="S234" s="192"/>
      <c r="T234" s="192"/>
      <c r="U234" s="192"/>
      <c r="V234" s="192"/>
      <c r="W234" s="192"/>
      <c r="X234" s="192"/>
      <c r="Y234" s="192"/>
      <c r="Z234" s="192"/>
      <c r="AA234" s="192"/>
      <c r="AB234" s="192"/>
      <c r="AC234" s="220" cm="1">
        <f t="array" ref="AC234">AC232*INDEX(LoanCohortRate,$A231)</f>
        <v>0</v>
      </c>
      <c r="AD234" s="221" cm="1">
        <f t="array" ref="AD234">AD232*INDEX(LoanCohortRate,$A231)</f>
        <v>0</v>
      </c>
      <c r="AE234" s="221" cm="1">
        <f t="array" ref="AE234">AE232*INDEX(LoanCohortRate,$A231)</f>
        <v>0</v>
      </c>
      <c r="AF234" s="221" cm="1">
        <f t="array" ref="AF234">AF232*INDEX(LoanCohortRate,$A231)</f>
        <v>0</v>
      </c>
      <c r="AG234" s="221" cm="1">
        <f t="array" ref="AG234">AG232*INDEX(LoanCohortRate,$A231)</f>
        <v>0</v>
      </c>
      <c r="AH234" s="221" cm="1">
        <f t="array" ref="AH234">AH232*INDEX(LoanCohortRate,$A231)</f>
        <v>0</v>
      </c>
      <c r="AI234" s="221" cm="1">
        <f t="array" ref="AI234">AI232*INDEX(LoanCohortRate,$A231)</f>
        <v>0</v>
      </c>
      <c r="AJ234" s="221" cm="1">
        <f t="array" ref="AJ234">AJ232*INDEX(LoanCohortRate,$A231)</f>
        <v>0</v>
      </c>
      <c r="AK234" s="221" cm="1">
        <f t="array" ref="AK234">AK232*INDEX(LoanCohortRate,$A231)</f>
        <v>0</v>
      </c>
      <c r="AL234" s="221" cm="1">
        <f t="array" ref="AL234">AL232*INDEX(LoanCohortRate,$A231)</f>
        <v>0</v>
      </c>
      <c r="AM234" s="221" cm="1">
        <f t="array" ref="AM234">AM232*INDEX(LoanCohortRate,$A231)</f>
        <v>0</v>
      </c>
      <c r="AN234" s="221" cm="1">
        <f t="array" ref="AN234">AN232*INDEX(LoanCohortRate,$A231)</f>
        <v>0</v>
      </c>
      <c r="AO234" s="221" cm="1">
        <f t="array" ref="AO234">AO232*INDEX(LoanCohortRate,$A231)</f>
        <v>0</v>
      </c>
      <c r="AP234" s="221" cm="1">
        <f t="array" ref="AP234">AP232*INDEX(LoanCohortRate,$A231)</f>
        <v>0</v>
      </c>
      <c r="AQ234" s="221" cm="1">
        <f t="array" ref="AQ234">AQ232*INDEX(LoanCohortRate,$A231)</f>
        <v>0</v>
      </c>
      <c r="AR234" s="221" cm="1">
        <f t="array" ref="AR234">AR232*INDEX(LoanCohortRate,$A231)</f>
        <v>0</v>
      </c>
      <c r="AS234" s="221" cm="1">
        <f t="array" ref="AS234">AS232*INDEX(LoanCohortRate,$A231)</f>
        <v>0</v>
      </c>
      <c r="AT234" s="221" cm="1">
        <f t="array" ref="AT234">AT232*INDEX(LoanCohortRate,$A231)</f>
        <v>0</v>
      </c>
      <c r="AU234" s="221" cm="1">
        <f t="array" ref="AU234">AU232*INDEX(LoanCohortRate,$A231)</f>
        <v>0</v>
      </c>
      <c r="AV234" s="221" cm="1">
        <f t="array" ref="AV234">AV232*INDEX(LoanCohortRate,$A231)</f>
        <v>0</v>
      </c>
      <c r="AW234" s="221" cm="1">
        <f t="array" ref="AW234">AW232*INDEX(LoanCohortRate,$A231)</f>
        <v>0</v>
      </c>
      <c r="AX234" s="221" cm="1">
        <f t="array" ref="AX234">AX232*INDEX(LoanCohortRate,$A231)</f>
        <v>0</v>
      </c>
      <c r="AY234" s="221" cm="1">
        <f t="array" ref="AY234">AY232*INDEX(LoanCohortRate,$A231)</f>
        <v>0</v>
      </c>
      <c r="AZ234" s="221" cm="1">
        <f t="array" ref="AZ234">AZ232*INDEX(LoanCohortRate,$A231)</f>
        <v>0</v>
      </c>
      <c r="BA234" s="221" cm="1">
        <f t="array" ref="BA234">BA232*INDEX(LoanCohortRate,$A231)</f>
        <v>0</v>
      </c>
      <c r="BB234" s="221" cm="1">
        <f t="array" ref="BB234">BB232*INDEX(LoanCohortRate,$A231)</f>
        <v>0</v>
      </c>
      <c r="BC234" s="221" cm="1">
        <f t="array" ref="BC234">BC232*INDEX(LoanCohortRate,$A231)</f>
        <v>0</v>
      </c>
      <c r="BD234" s="221" cm="1">
        <f t="array" ref="BD234">BD232*INDEX(LoanCohortRate,$A231)</f>
        <v>0</v>
      </c>
      <c r="BE234" s="221" cm="1">
        <f t="array" ref="BE234">BE232*INDEX(LoanCohortRate,$A231)</f>
        <v>0</v>
      </c>
      <c r="BF234" s="221" cm="1">
        <f t="array" ref="BF234">BF232*INDEX(LoanCohortRate,$A231)</f>
        <v>0</v>
      </c>
      <c r="BG234" s="221" cm="1">
        <f t="array" ref="BG234">BG232*INDEX(LoanCohortRate,$A231)</f>
        <v>0</v>
      </c>
      <c r="BH234" s="221" cm="1">
        <f t="array" ref="BH234">BH232*INDEX(LoanCohortRate,$A231)</f>
        <v>0</v>
      </c>
      <c r="BI234" s="221" cm="1">
        <f t="array" ref="BI234">BI232*INDEX(LoanCohortRate,$A231)</f>
        <v>0</v>
      </c>
      <c r="BJ234" s="221" cm="1">
        <f t="array" ref="BJ234">BJ232*INDEX(LoanCohortRate,$A231)</f>
        <v>0</v>
      </c>
      <c r="BK234" s="221" cm="1">
        <f t="array" ref="BK234">BK232*INDEX(LoanCohortRate,$A231)</f>
        <v>0</v>
      </c>
    </row>
    <row r="235" spans="1:63" ht="7.8" x14ac:dyDescent="0.15">
      <c r="A235" s="218" t="s">
        <v>177</v>
      </c>
      <c r="B235" s="192"/>
      <c r="C235" s="192"/>
      <c r="D235" s="192"/>
      <c r="E235" s="192"/>
      <c r="F235" s="192"/>
      <c r="G235" s="192"/>
      <c r="H235" s="192"/>
      <c r="I235" s="192"/>
      <c r="J235" s="192"/>
      <c r="K235" s="192"/>
      <c r="L235" s="192"/>
      <c r="M235" s="192"/>
      <c r="N235" s="192"/>
      <c r="O235" s="192"/>
      <c r="P235" s="192"/>
      <c r="Q235" s="192"/>
      <c r="R235" s="192"/>
      <c r="S235" s="192"/>
      <c r="T235" s="192"/>
      <c r="U235" s="192"/>
      <c r="V235" s="192"/>
      <c r="W235" s="192"/>
      <c r="X235" s="192"/>
      <c r="Y235" s="192"/>
      <c r="Z235" s="192"/>
      <c r="AA235" s="192"/>
      <c r="AB235" s="192"/>
      <c r="AC235" s="219">
        <f>AC233-AC234</f>
        <v>1.5951445441303251</v>
      </c>
      <c r="AD235" s="222">
        <f t="shared" ref="AD235:BK235" si="3739">AD233-AD234</f>
        <v>1.5951445441303251</v>
      </c>
      <c r="AE235" s="222">
        <f t="shared" si="3739"/>
        <v>1.5951445441303251</v>
      </c>
      <c r="AF235" s="222">
        <f t="shared" si="3739"/>
        <v>1.5951445441303251</v>
      </c>
      <c r="AG235" s="222">
        <f t="shared" si="3739"/>
        <v>1.5951445441303251</v>
      </c>
      <c r="AH235" s="222">
        <f t="shared" si="3739"/>
        <v>1.5951445441303251</v>
      </c>
      <c r="AI235" s="222">
        <f t="shared" si="3739"/>
        <v>1.5951445441303251</v>
      </c>
      <c r="AJ235" s="222">
        <f t="shared" si="3739"/>
        <v>1.5951445441303251</v>
      </c>
      <c r="AK235" s="222">
        <f t="shared" si="3739"/>
        <v>1.5951445441303251</v>
      </c>
      <c r="AL235" s="222">
        <f t="shared" si="3739"/>
        <v>1.5951445441303251</v>
      </c>
      <c r="AM235" s="222">
        <f t="shared" si="3739"/>
        <v>1.5951445441303251</v>
      </c>
      <c r="AN235" s="222">
        <f t="shared" si="3739"/>
        <v>1.5951445441303251</v>
      </c>
      <c r="AO235" s="222">
        <f t="shared" si="3739"/>
        <v>1.5951445441303251</v>
      </c>
      <c r="AP235" s="222">
        <f t="shared" si="3739"/>
        <v>1.5951445441303251</v>
      </c>
      <c r="AQ235" s="222">
        <f t="shared" si="3739"/>
        <v>1.5951445441303251</v>
      </c>
      <c r="AR235" s="222">
        <f t="shared" si="3739"/>
        <v>1.5951445441303251</v>
      </c>
      <c r="AS235" s="222">
        <f t="shared" si="3739"/>
        <v>0</v>
      </c>
      <c r="AT235" s="222">
        <f t="shared" si="3739"/>
        <v>0</v>
      </c>
      <c r="AU235" s="222">
        <f t="shared" si="3739"/>
        <v>0</v>
      </c>
      <c r="AV235" s="222">
        <f t="shared" si="3739"/>
        <v>0</v>
      </c>
      <c r="AW235" s="222">
        <f t="shared" si="3739"/>
        <v>0</v>
      </c>
      <c r="AX235" s="222">
        <f t="shared" si="3739"/>
        <v>0</v>
      </c>
      <c r="AY235" s="222">
        <f t="shared" si="3739"/>
        <v>0</v>
      </c>
      <c r="AZ235" s="222">
        <f t="shared" si="3739"/>
        <v>0</v>
      </c>
      <c r="BA235" s="222">
        <f t="shared" si="3739"/>
        <v>0</v>
      </c>
      <c r="BB235" s="222">
        <f t="shared" si="3739"/>
        <v>0</v>
      </c>
      <c r="BC235" s="222">
        <f t="shared" si="3739"/>
        <v>0</v>
      </c>
      <c r="BD235" s="222">
        <f t="shared" si="3739"/>
        <v>0</v>
      </c>
      <c r="BE235" s="222">
        <f t="shared" si="3739"/>
        <v>0</v>
      </c>
      <c r="BF235" s="222">
        <f t="shared" si="3739"/>
        <v>0</v>
      </c>
      <c r="BG235" s="222">
        <f t="shared" si="3739"/>
        <v>0</v>
      </c>
      <c r="BH235" s="222">
        <f t="shared" si="3739"/>
        <v>0</v>
      </c>
      <c r="BI235" s="222">
        <f t="shared" si="3739"/>
        <v>0</v>
      </c>
      <c r="BJ235" s="222">
        <f t="shared" si="3739"/>
        <v>0</v>
      </c>
      <c r="BK235" s="222">
        <f t="shared" si="3739"/>
        <v>0</v>
      </c>
    </row>
    <row r="236" spans="1:63" ht="7.8" x14ac:dyDescent="0.15">
      <c r="A236" s="205" t="s">
        <v>7</v>
      </c>
      <c r="B236" s="192"/>
      <c r="C236" s="192"/>
      <c r="D236" s="192"/>
      <c r="E236" s="192"/>
      <c r="F236" s="192"/>
      <c r="G236" s="192"/>
      <c r="H236" s="192"/>
      <c r="I236" s="192"/>
      <c r="J236" s="192"/>
      <c r="K236" s="192"/>
      <c r="L236" s="192"/>
      <c r="M236" s="192"/>
      <c r="N236" s="192"/>
      <c r="O236" s="192"/>
      <c r="P236" s="192"/>
      <c r="Q236" s="192"/>
      <c r="R236" s="192"/>
      <c r="S236" s="192"/>
      <c r="T236" s="192"/>
      <c r="U236" s="192"/>
      <c r="V236" s="192"/>
      <c r="W236" s="192"/>
      <c r="X236" s="192"/>
      <c r="Y236" s="192"/>
      <c r="Z236" s="192"/>
      <c r="AA236" s="192"/>
      <c r="AB236" s="192"/>
      <c r="AC236" s="214" cm="1">
        <f t="array" ref="AC236">INDEX(LoanOriginations,$A231)</f>
        <v>113.27955750864153</v>
      </c>
      <c r="AD236" s="199">
        <f t="shared" ref="AD236:BK236" si="3740">AC236*(1-MitigateDelinquency*MitigateChargeoff)  *  IF(AD231=0,0,IF(AD231-102=LoanSaleHeld,0.6,1))</f>
        <v>113.16627795113288</v>
      </c>
      <c r="AE236" s="199">
        <f t="shared" si="3740"/>
        <v>113.05311167318175</v>
      </c>
      <c r="AF236" s="199">
        <f t="shared" si="3740"/>
        <v>112.94005856150856</v>
      </c>
      <c r="AG236" s="199">
        <f t="shared" si="3740"/>
        <v>67.696271101768232</v>
      </c>
      <c r="AH236" s="199">
        <f t="shared" si="3740"/>
        <v>67.628574830666466</v>
      </c>
      <c r="AI236" s="199">
        <f t="shared" si="3740"/>
        <v>67.560946255835802</v>
      </c>
      <c r="AJ236" s="199">
        <f t="shared" si="3740"/>
        <v>67.493385309579963</v>
      </c>
      <c r="AK236" s="199">
        <f t="shared" si="3740"/>
        <v>67.425891924270388</v>
      </c>
      <c r="AL236" s="199">
        <f t="shared" si="3740"/>
        <v>67.358466032346115</v>
      </c>
      <c r="AM236" s="199">
        <f t="shared" si="3740"/>
        <v>67.291107566313769</v>
      </c>
      <c r="AN236" s="199">
        <f t="shared" si="3740"/>
        <v>67.22381645874745</v>
      </c>
      <c r="AO236" s="199">
        <f t="shared" si="3740"/>
        <v>67.1565926422887</v>
      </c>
      <c r="AP236" s="199">
        <f t="shared" si="3740"/>
        <v>67.089436049646409</v>
      </c>
      <c r="AQ236" s="199">
        <f t="shared" si="3740"/>
        <v>67.022346613596767</v>
      </c>
      <c r="AR236" s="199">
        <f t="shared" si="3740"/>
        <v>66.955324266983169</v>
      </c>
      <c r="AS236" s="199">
        <f t="shared" si="3740"/>
        <v>0</v>
      </c>
      <c r="AT236" s="199">
        <f t="shared" si="3740"/>
        <v>0</v>
      </c>
      <c r="AU236" s="199">
        <f t="shared" si="3740"/>
        <v>0</v>
      </c>
      <c r="AV236" s="199">
        <f t="shared" si="3740"/>
        <v>0</v>
      </c>
      <c r="AW236" s="199">
        <f t="shared" si="3740"/>
        <v>0</v>
      </c>
      <c r="AX236" s="199">
        <f t="shared" si="3740"/>
        <v>0</v>
      </c>
      <c r="AY236" s="199">
        <f t="shared" si="3740"/>
        <v>0</v>
      </c>
      <c r="AZ236" s="199">
        <f t="shared" si="3740"/>
        <v>0</v>
      </c>
      <c r="BA236" s="199">
        <f t="shared" si="3740"/>
        <v>0</v>
      </c>
      <c r="BB236" s="199">
        <f t="shared" si="3740"/>
        <v>0</v>
      </c>
      <c r="BC236" s="199">
        <f t="shared" si="3740"/>
        <v>0</v>
      </c>
      <c r="BD236" s="199">
        <f t="shared" si="3740"/>
        <v>0</v>
      </c>
      <c r="BE236" s="199">
        <f t="shared" si="3740"/>
        <v>0</v>
      </c>
      <c r="BF236" s="199">
        <f t="shared" si="3740"/>
        <v>0</v>
      </c>
      <c r="BG236" s="199">
        <f t="shared" si="3740"/>
        <v>0</v>
      </c>
      <c r="BH236" s="199">
        <f t="shared" si="3740"/>
        <v>0</v>
      </c>
      <c r="BI236" s="199">
        <f t="shared" si="3740"/>
        <v>0</v>
      </c>
      <c r="BJ236" s="199">
        <f t="shared" si="3740"/>
        <v>0</v>
      </c>
      <c r="BK236" s="199">
        <f t="shared" si="3740"/>
        <v>0</v>
      </c>
    </row>
    <row r="237" spans="1:63" ht="7.8" x14ac:dyDescent="0.15">
      <c r="A237" s="207" t="s">
        <v>96</v>
      </c>
      <c r="B237" s="192"/>
      <c r="C237" s="192"/>
      <c r="D237" s="192"/>
      <c r="E237" s="192"/>
      <c r="F237" s="192"/>
      <c r="G237" s="192"/>
      <c r="H237" s="192"/>
      <c r="I237" s="192"/>
      <c r="J237" s="192"/>
      <c r="K237" s="192"/>
      <c r="L237" s="192"/>
      <c r="M237" s="192"/>
      <c r="N237" s="192"/>
      <c r="O237" s="192"/>
      <c r="P237" s="192"/>
      <c r="Q237" s="192"/>
      <c r="R237" s="192"/>
      <c r="S237" s="192"/>
      <c r="T237" s="192"/>
      <c r="U237" s="192"/>
      <c r="V237" s="192"/>
      <c r="W237" s="192"/>
      <c r="X237" s="192"/>
      <c r="Y237" s="192"/>
      <c r="Z237" s="192"/>
      <c r="AA237" s="192"/>
      <c r="AB237" s="192"/>
      <c r="AC237" s="223">
        <f>AC234*AC236</f>
        <v>0</v>
      </c>
      <c r="AD237" s="200">
        <f t="shared" ref="AD237" si="3741">AD234*AD236</f>
        <v>0</v>
      </c>
      <c r="AE237" s="200">
        <f t="shared" ref="AE237" si="3742">AE234*AE236</f>
        <v>0</v>
      </c>
      <c r="AF237" s="200">
        <f t="shared" ref="AF237" si="3743">AF234*AF236</f>
        <v>0</v>
      </c>
      <c r="AG237" s="200">
        <f t="shared" ref="AG237" si="3744">AG234*AG236</f>
        <v>0</v>
      </c>
      <c r="AH237" s="200">
        <f t="shared" ref="AH237" si="3745">AH234*AH236</f>
        <v>0</v>
      </c>
      <c r="AI237" s="200">
        <f t="shared" ref="AI237" si="3746">AI234*AI236</f>
        <v>0</v>
      </c>
      <c r="AJ237" s="200">
        <f t="shared" ref="AJ237" si="3747">AJ234*AJ236</f>
        <v>0</v>
      </c>
      <c r="AK237" s="200">
        <f t="shared" ref="AK237" si="3748">AK234*AK236</f>
        <v>0</v>
      </c>
      <c r="AL237" s="200">
        <f t="shared" ref="AL237" si="3749">AL234*AL236</f>
        <v>0</v>
      </c>
      <c r="AM237" s="200">
        <f t="shared" ref="AM237" si="3750">AM234*AM236</f>
        <v>0</v>
      </c>
      <c r="AN237" s="200">
        <f t="shared" ref="AN237" si="3751">AN234*AN236</f>
        <v>0</v>
      </c>
      <c r="AO237" s="200">
        <f t="shared" ref="AO237" si="3752">AO234*AO236</f>
        <v>0</v>
      </c>
      <c r="AP237" s="200">
        <f t="shared" ref="AP237" si="3753">AP234*AP236</f>
        <v>0</v>
      </c>
      <c r="AQ237" s="200">
        <f t="shared" ref="AQ237" si="3754">AQ234*AQ236</f>
        <v>0</v>
      </c>
      <c r="AR237" s="200">
        <f t="shared" ref="AR237" si="3755">AR234*AR236</f>
        <v>0</v>
      </c>
      <c r="AS237" s="200">
        <f t="shared" ref="AS237" si="3756">AS234*AS236</f>
        <v>0</v>
      </c>
      <c r="AT237" s="200">
        <f t="shared" ref="AT237" si="3757">AT234*AT236</f>
        <v>0</v>
      </c>
      <c r="AU237" s="200">
        <f t="shared" ref="AU237" si="3758">AU234*AU236</f>
        <v>0</v>
      </c>
      <c r="AV237" s="200">
        <f t="shared" ref="AV237" si="3759">AV234*AV236</f>
        <v>0</v>
      </c>
      <c r="AW237" s="200">
        <f t="shared" ref="AW237" si="3760">AW234*AW236</f>
        <v>0</v>
      </c>
      <c r="AX237" s="200">
        <f t="shared" ref="AX237" si="3761">AX234*AX236</f>
        <v>0</v>
      </c>
      <c r="AY237" s="200">
        <f t="shared" ref="AY237" si="3762">AY234*AY236</f>
        <v>0</v>
      </c>
      <c r="AZ237" s="200">
        <f t="shared" ref="AZ237" si="3763">AZ234*AZ236</f>
        <v>0</v>
      </c>
      <c r="BA237" s="200">
        <f t="shared" ref="BA237" si="3764">BA234*BA236</f>
        <v>0</v>
      </c>
      <c r="BB237" s="200">
        <f t="shared" ref="BB237" si="3765">BB234*BB236</f>
        <v>0</v>
      </c>
      <c r="BC237" s="200">
        <f t="shared" ref="BC237" si="3766">BC234*BC236</f>
        <v>0</v>
      </c>
      <c r="BD237" s="200">
        <f t="shared" ref="BD237" si="3767">BD234*BD236</f>
        <v>0</v>
      </c>
      <c r="BE237" s="200">
        <f t="shared" ref="BE237" si="3768">BE234*BE236</f>
        <v>0</v>
      </c>
      <c r="BF237" s="200">
        <f t="shared" ref="BF237" si="3769">BF234*BF236</f>
        <v>0</v>
      </c>
      <c r="BG237" s="200">
        <f t="shared" ref="BG237" si="3770">BG234*BG236</f>
        <v>0</v>
      </c>
      <c r="BH237" s="200">
        <f t="shared" ref="BH237" si="3771">BH234*BH236</f>
        <v>0</v>
      </c>
      <c r="BI237" s="200">
        <f t="shared" ref="BI237" si="3772">BI234*BI236</f>
        <v>0</v>
      </c>
      <c r="BJ237" s="200">
        <f t="shared" ref="BJ237" si="3773">BJ234*BJ236</f>
        <v>0</v>
      </c>
      <c r="BK237" s="200">
        <f t="shared" ref="BK237" si="3774">BK234*BK236</f>
        <v>0</v>
      </c>
    </row>
    <row r="238" spans="1:63" ht="7.8" x14ac:dyDescent="0.15">
      <c r="A238" s="206" t="s">
        <v>97</v>
      </c>
      <c r="B238" s="192"/>
      <c r="C238" s="192"/>
      <c r="D238" s="192"/>
      <c r="E238" s="192"/>
      <c r="F238" s="192"/>
      <c r="G238" s="192"/>
      <c r="H238" s="192"/>
      <c r="I238" s="192"/>
      <c r="J238" s="192"/>
      <c r="K238" s="192"/>
      <c r="L238" s="192"/>
      <c r="M238" s="192"/>
      <c r="N238" s="192"/>
      <c r="O238" s="192"/>
      <c r="P238" s="192"/>
      <c r="Q238" s="192"/>
      <c r="R238" s="192"/>
      <c r="S238" s="192"/>
      <c r="T238" s="192"/>
      <c r="U238" s="192"/>
      <c r="V238" s="192"/>
      <c r="W238" s="192"/>
      <c r="X238" s="192"/>
      <c r="Y238" s="192"/>
      <c r="Z238" s="192"/>
      <c r="AA238" s="192"/>
      <c r="AB238" s="192"/>
      <c r="AC238" s="223">
        <f>AC235*AC236</f>
        <v>180.69726812140695</v>
      </c>
      <c r="AD238" s="200">
        <f>AD235*AD236</f>
        <v>180.51657085328551</v>
      </c>
      <c r="AE238" s="200">
        <f t="shared" ref="AE238:BK238" si="3775">AE235*AE236</f>
        <v>180.33605428243223</v>
      </c>
      <c r="AF238" s="200">
        <f t="shared" si="3775"/>
        <v>180.15571822814979</v>
      </c>
      <c r="AG238" s="200">
        <f t="shared" si="3775"/>
        <v>107.98533750595298</v>
      </c>
      <c r="AH238" s="200">
        <f t="shared" si="3775"/>
        <v>107.87735216844705</v>
      </c>
      <c r="AI238" s="200">
        <f t="shared" si="3775"/>
        <v>107.7694748162786</v>
      </c>
      <c r="AJ238" s="200">
        <f t="shared" si="3775"/>
        <v>107.66170534146231</v>
      </c>
      <c r="AK238" s="200">
        <f t="shared" si="3775"/>
        <v>107.55404363612087</v>
      </c>
      <c r="AL238" s="200">
        <f t="shared" si="3775"/>
        <v>107.44648959248474</v>
      </c>
      <c r="AM238" s="200">
        <f t="shared" si="3775"/>
        <v>107.33904310289225</v>
      </c>
      <c r="AN238" s="200">
        <f t="shared" si="3775"/>
        <v>107.23170405978935</v>
      </c>
      <c r="AO238" s="200">
        <f t="shared" si="3775"/>
        <v>107.12447235572955</v>
      </c>
      <c r="AP238" s="200">
        <f t="shared" si="3775"/>
        <v>107.01734788337382</v>
      </c>
      <c r="AQ238" s="200">
        <f t="shared" si="3775"/>
        <v>106.91033053549046</v>
      </c>
      <c r="AR238" s="200">
        <f t="shared" si="3775"/>
        <v>106.80342020495496</v>
      </c>
      <c r="AS238" s="200">
        <f t="shared" si="3775"/>
        <v>0</v>
      </c>
      <c r="AT238" s="200">
        <f t="shared" si="3775"/>
        <v>0</v>
      </c>
      <c r="AU238" s="200">
        <f t="shared" si="3775"/>
        <v>0</v>
      </c>
      <c r="AV238" s="200">
        <f t="shared" si="3775"/>
        <v>0</v>
      </c>
      <c r="AW238" s="200">
        <f t="shared" si="3775"/>
        <v>0</v>
      </c>
      <c r="AX238" s="200">
        <f t="shared" si="3775"/>
        <v>0</v>
      </c>
      <c r="AY238" s="200">
        <f t="shared" si="3775"/>
        <v>0</v>
      </c>
      <c r="AZ238" s="200">
        <f t="shared" si="3775"/>
        <v>0</v>
      </c>
      <c r="BA238" s="200">
        <f t="shared" si="3775"/>
        <v>0</v>
      </c>
      <c r="BB238" s="200">
        <f t="shared" si="3775"/>
        <v>0</v>
      </c>
      <c r="BC238" s="200">
        <f t="shared" si="3775"/>
        <v>0</v>
      </c>
      <c r="BD238" s="200">
        <f t="shared" si="3775"/>
        <v>0</v>
      </c>
      <c r="BE238" s="200">
        <f t="shared" si="3775"/>
        <v>0</v>
      </c>
      <c r="BF238" s="200">
        <f t="shared" si="3775"/>
        <v>0</v>
      </c>
      <c r="BG238" s="200">
        <f t="shared" si="3775"/>
        <v>0</v>
      </c>
      <c r="BH238" s="200">
        <f t="shared" si="3775"/>
        <v>0</v>
      </c>
      <c r="BI238" s="200">
        <f t="shared" si="3775"/>
        <v>0</v>
      </c>
      <c r="BJ238" s="200">
        <f t="shared" si="3775"/>
        <v>0</v>
      </c>
      <c r="BK238" s="200">
        <f t="shared" si="3775"/>
        <v>0</v>
      </c>
    </row>
    <row r="239" spans="1:63" ht="7.8" x14ac:dyDescent="0.15">
      <c r="A239" s="208" t="s">
        <v>203</v>
      </c>
      <c r="B239" s="192"/>
      <c r="C239" s="192"/>
      <c r="D239" s="192"/>
      <c r="E239" s="192"/>
      <c r="F239" s="192"/>
      <c r="G239" s="192"/>
      <c r="H239" s="192"/>
      <c r="I239" s="192"/>
      <c r="J239" s="192"/>
      <c r="K239" s="192"/>
      <c r="L239" s="192"/>
      <c r="M239" s="192"/>
      <c r="N239" s="192"/>
      <c r="O239" s="192"/>
      <c r="P239" s="192"/>
      <c r="Q239" s="192"/>
      <c r="R239" s="192"/>
      <c r="S239" s="192"/>
      <c r="T239" s="192"/>
      <c r="U239" s="192"/>
      <c r="V239" s="192"/>
      <c r="W239" s="192"/>
      <c r="X239" s="192"/>
      <c r="Y239" s="192"/>
      <c r="Z239" s="192"/>
      <c r="AA239" s="192"/>
      <c r="AB239" s="192"/>
      <c r="AC239" s="224">
        <f>IF(AC231-101&lt;&gt;LoanSaleHeld,0,SUM($D238:AC238)*LoanSalePercent)</f>
        <v>0</v>
      </c>
      <c r="AD239" s="225">
        <f>IF(AD231-101&lt;&gt;LoanSaleHeld,0,SUM($D238:AD238)*LoanSalePercent)</f>
        <v>0</v>
      </c>
      <c r="AE239" s="225">
        <f>IF(AE231-101&lt;&gt;LoanSaleHeld,0,SUM($D238:AE238)*LoanSalePercent)</f>
        <v>0</v>
      </c>
      <c r="AF239" s="225">
        <f>IF(AF231-101&lt;&gt;LoanSaleHeld,0,SUM($D238:AF238)*LoanSalePercent)</f>
        <v>288.68224459410982</v>
      </c>
      <c r="AG239" s="225">
        <f>IF(AG231-101&lt;&gt;LoanSaleHeld,0,SUM($D238:AG238)*LoanSalePercent)</f>
        <v>0</v>
      </c>
      <c r="AH239" s="225">
        <f>IF(AH231-101&lt;&gt;LoanSaleHeld,0,SUM($D238:AH238)*LoanSalePercent)</f>
        <v>0</v>
      </c>
      <c r="AI239" s="225">
        <f>IF(AI231-101&lt;&gt;LoanSaleHeld,0,SUM($D238:AI238)*LoanSalePercent)</f>
        <v>0</v>
      </c>
      <c r="AJ239" s="225">
        <f>IF(AJ231-101&lt;&gt;LoanSaleHeld,0,SUM($D238:AJ238)*LoanSalePercent)</f>
        <v>0</v>
      </c>
      <c r="AK239" s="225">
        <f>IF(AK231-101&lt;&gt;LoanSaleHeld,0,SUM($D238:AK238)*LoanSalePercent)</f>
        <v>0</v>
      </c>
      <c r="AL239" s="225">
        <f>IF(AL231-101&lt;&gt;LoanSaleHeld,0,SUM($D238:AL238)*LoanSalePercent)</f>
        <v>0</v>
      </c>
      <c r="AM239" s="225">
        <f>IF(AM231-101&lt;&gt;LoanSaleHeld,0,SUM($D238:AM238)*LoanSalePercent)</f>
        <v>0</v>
      </c>
      <c r="AN239" s="225">
        <f>IF(AN231-101&lt;&gt;LoanSaleHeld,0,SUM($D238:AN238)*LoanSalePercent)</f>
        <v>0</v>
      </c>
      <c r="AO239" s="225">
        <f>IF(AO231-101&lt;&gt;LoanSaleHeld,0,SUM($D238:AO238)*LoanSalePercent)</f>
        <v>0</v>
      </c>
      <c r="AP239" s="225">
        <f>IF(AP231-101&lt;&gt;LoanSaleHeld,0,SUM($D238:AP238)*LoanSalePercent)</f>
        <v>0</v>
      </c>
      <c r="AQ239" s="225">
        <f>IF(AQ231-101&lt;&gt;LoanSaleHeld,0,SUM($D238:AQ238)*LoanSalePercent)</f>
        <v>0</v>
      </c>
      <c r="AR239" s="225">
        <f>IF(AR231-101&lt;&gt;LoanSaleHeld,0,SUM($D238:AR238)*LoanSalePercent)</f>
        <v>0</v>
      </c>
      <c r="AS239" s="225">
        <f>IF(AS231-101&lt;&gt;LoanSaleHeld,0,SUM($D238:AS238)*LoanSalePercent)</f>
        <v>0</v>
      </c>
      <c r="AT239" s="225">
        <f>IF(AT231-101&lt;&gt;LoanSaleHeld,0,SUM($D238:AT238)*LoanSalePercent)</f>
        <v>0</v>
      </c>
      <c r="AU239" s="225">
        <f>IF(AU231-101&lt;&gt;LoanSaleHeld,0,SUM($D238:AU238)*LoanSalePercent)</f>
        <v>0</v>
      </c>
      <c r="AV239" s="225">
        <f>IF(AV231-101&lt;&gt;LoanSaleHeld,0,SUM($D238:AV238)*LoanSalePercent)</f>
        <v>0</v>
      </c>
      <c r="AW239" s="225">
        <f>IF(AW231-101&lt;&gt;LoanSaleHeld,0,SUM($D238:AW238)*LoanSalePercent)</f>
        <v>0</v>
      </c>
      <c r="AX239" s="225">
        <f>IF(AX231-101&lt;&gt;LoanSaleHeld,0,SUM($D238:AX238)*LoanSalePercent)</f>
        <v>0</v>
      </c>
      <c r="AY239" s="225">
        <f>IF(AY231-101&lt;&gt;LoanSaleHeld,0,SUM($D238:AY238)*LoanSalePercent)</f>
        <v>0</v>
      </c>
      <c r="AZ239" s="225">
        <f>IF(AZ231-101&lt;&gt;LoanSaleHeld,0,SUM($D238:AZ238)*LoanSalePercent)</f>
        <v>0</v>
      </c>
      <c r="BA239" s="225">
        <f>IF(BA231-101&lt;&gt;LoanSaleHeld,0,SUM($D238:BA238)*LoanSalePercent)</f>
        <v>0</v>
      </c>
      <c r="BB239" s="225">
        <f>IF(BB231-101&lt;&gt;LoanSaleHeld,0,SUM($D238:BB238)*LoanSalePercent)</f>
        <v>0</v>
      </c>
      <c r="BC239" s="225">
        <f>IF(BC231-101&lt;&gt;LoanSaleHeld,0,SUM($D238:BC238)*LoanSalePercent)</f>
        <v>0</v>
      </c>
      <c r="BD239" s="225">
        <f>IF(BD231-101&lt;&gt;LoanSaleHeld,0,SUM($D238:BD238)*LoanSalePercent)</f>
        <v>0</v>
      </c>
      <c r="BE239" s="225">
        <f>IF(BE231-101&lt;&gt;LoanSaleHeld,0,SUM($D238:BE238)*LoanSalePercent)</f>
        <v>0</v>
      </c>
      <c r="BF239" s="225">
        <f>IF(BF231-101&lt;&gt;LoanSaleHeld,0,SUM($D238:BF238)*LoanSalePercent)</f>
        <v>0</v>
      </c>
      <c r="BG239" s="225">
        <f>IF(BG231-101&lt;&gt;LoanSaleHeld,0,SUM($D238:BG238)*LoanSalePercent)</f>
        <v>0</v>
      </c>
      <c r="BH239" s="225">
        <f>IF(BH231-101&lt;&gt;LoanSaleHeld,0,SUM($D238:BH238)*LoanSalePercent)</f>
        <v>0</v>
      </c>
      <c r="BI239" s="225">
        <f>IF(BI231-101&lt;&gt;LoanSaleHeld,0,SUM($D238:BI238)*LoanSalePercent)</f>
        <v>0</v>
      </c>
      <c r="BJ239" s="225">
        <f>IF(BJ231-101&lt;&gt;LoanSaleHeld,0,SUM($D238:BJ238)*LoanSalePercent)</f>
        <v>0</v>
      </c>
      <c r="BK239" s="225">
        <f>IF(BK231-101&lt;&gt;LoanSaleHeld,0,SUM($D238:BK238)*LoanSalePercent)</f>
        <v>0</v>
      </c>
    </row>
    <row r="240" spans="1:63" ht="7.8" x14ac:dyDescent="0.15">
      <c r="A240" s="204">
        <f t="shared" ref="A240" si="3776">A231+1</f>
        <v>27</v>
      </c>
      <c r="B240" s="192"/>
      <c r="C240" s="192"/>
      <c r="D240" s="192"/>
      <c r="E240" s="192"/>
      <c r="F240" s="192"/>
      <c r="G240" s="192"/>
      <c r="H240" s="192"/>
      <c r="I240" s="192"/>
      <c r="J240" s="192"/>
      <c r="K240" s="192"/>
      <c r="L240" s="192"/>
      <c r="M240" s="192"/>
      <c r="N240" s="192"/>
      <c r="O240" s="192"/>
      <c r="P240" s="192"/>
      <c r="Q240" s="192"/>
      <c r="R240" s="192"/>
      <c r="S240" s="192"/>
      <c r="T240" s="192"/>
      <c r="U240" s="192"/>
      <c r="V240" s="192"/>
      <c r="W240" s="192"/>
      <c r="X240" s="192"/>
      <c r="Y240" s="192"/>
      <c r="Z240" s="192"/>
      <c r="AA240" s="192"/>
      <c r="AB240" s="192"/>
      <c r="AC240" s="192"/>
      <c r="AD240" s="195">
        <v>101</v>
      </c>
      <c r="AE240" s="196">
        <f t="shared" ref="AE240" si="3777">IF(AE241=0,0,AD240+1)</f>
        <v>102</v>
      </c>
      <c r="AF240" s="196">
        <f t="shared" ref="AF240" si="3778">IF(AF241=0,0,AE240+1)</f>
        <v>103</v>
      </c>
      <c r="AG240" s="196">
        <f t="shared" ref="AG240" si="3779">IF(AG241=0,0,AF240+1)</f>
        <v>104</v>
      </c>
      <c r="AH240" s="196">
        <f t="shared" ref="AH240" si="3780">IF(AH241=0,0,AG240+1)</f>
        <v>105</v>
      </c>
      <c r="AI240" s="196">
        <f t="shared" ref="AI240" si="3781">IF(AI241=0,0,AH240+1)</f>
        <v>106</v>
      </c>
      <c r="AJ240" s="196">
        <f t="shared" ref="AJ240" si="3782">IF(AJ241=0,0,AI240+1)</f>
        <v>107</v>
      </c>
      <c r="AK240" s="196">
        <f t="shared" ref="AK240" si="3783">IF(AK241=0,0,AJ240+1)</f>
        <v>108</v>
      </c>
      <c r="AL240" s="196">
        <f t="shared" ref="AL240" si="3784">IF(AL241=0,0,AK240+1)</f>
        <v>109</v>
      </c>
      <c r="AM240" s="196">
        <f t="shared" ref="AM240" si="3785">IF(AM241=0,0,AL240+1)</f>
        <v>110</v>
      </c>
      <c r="AN240" s="196">
        <f t="shared" ref="AN240" si="3786">IF(AN241=0,0,AM240+1)</f>
        <v>111</v>
      </c>
      <c r="AO240" s="196">
        <f t="shared" ref="AO240" si="3787">IF(AO241=0,0,AN240+1)</f>
        <v>112</v>
      </c>
      <c r="AP240" s="196">
        <f t="shared" ref="AP240" si="3788">IF(AP241=0,0,AO240+1)</f>
        <v>113</v>
      </c>
      <c r="AQ240" s="196">
        <f t="shared" ref="AQ240" si="3789">IF(AQ241=0,0,AP240+1)</f>
        <v>114</v>
      </c>
      <c r="AR240" s="196">
        <f t="shared" ref="AR240" si="3790">IF(AR241=0,0,AQ240+1)</f>
        <v>115</v>
      </c>
      <c r="AS240" s="196">
        <f t="shared" ref="AS240" si="3791">IF(AS241=0,0,AR240+1)</f>
        <v>116</v>
      </c>
      <c r="AT240" s="196">
        <f t="shared" ref="AT240" si="3792">IF(AT241=0,0,AS240+1)</f>
        <v>117</v>
      </c>
      <c r="AU240" s="196">
        <f t="shared" ref="AU240" si="3793">IF(AU241=0,0,AT240+1)</f>
        <v>118</v>
      </c>
      <c r="AV240" s="196">
        <f t="shared" ref="AV240" si="3794">IF(AV241=0,0,AU240+1)</f>
        <v>119</v>
      </c>
      <c r="AW240" s="196">
        <f t="shared" ref="AW240" si="3795">IF(AW241=0,0,AV240+1)</f>
        <v>0</v>
      </c>
      <c r="AX240" s="196">
        <f t="shared" ref="AX240" si="3796">IF(AX241=0,0,AW240+1)</f>
        <v>0</v>
      </c>
      <c r="AY240" s="196">
        <f t="shared" ref="AY240" si="3797">IF(AY241=0,0,AX240+1)</f>
        <v>0</v>
      </c>
      <c r="AZ240" s="196">
        <f t="shared" ref="AZ240" si="3798">IF(AZ241=0,0,AY240+1)</f>
        <v>0</v>
      </c>
      <c r="BA240" s="196">
        <f t="shared" ref="BA240" si="3799">IF(BA241=0,0,AZ240+1)</f>
        <v>0</v>
      </c>
      <c r="BB240" s="196">
        <f t="shared" ref="BB240" si="3800">IF(BB241=0,0,BA240+1)</f>
        <v>0</v>
      </c>
      <c r="BC240" s="196">
        <f t="shared" ref="BC240" si="3801">IF(BC241=0,0,BB240+1)</f>
        <v>0</v>
      </c>
      <c r="BD240" s="196">
        <f t="shared" ref="BD240" si="3802">IF(BD241=0,0,BC240+1)</f>
        <v>0</v>
      </c>
      <c r="BE240" s="196">
        <f t="shared" ref="BE240" si="3803">IF(BE241=0,0,BD240+1)</f>
        <v>0</v>
      </c>
      <c r="BF240" s="196">
        <f t="shared" ref="BF240" si="3804">IF(BF241=0,0,BE240+1)</f>
        <v>0</v>
      </c>
      <c r="BG240" s="196">
        <f t="shared" ref="BG240" si="3805">IF(BG241=0,0,BF240+1)</f>
        <v>0</v>
      </c>
      <c r="BH240" s="196">
        <f t="shared" ref="BH240" si="3806">IF(BH241=0,0,BG240+1)</f>
        <v>0</v>
      </c>
      <c r="BI240" s="196">
        <f t="shared" ref="BI240" si="3807">IF(BI241=0,0,BH240+1)</f>
        <v>0</v>
      </c>
      <c r="BJ240" s="196">
        <f t="shared" ref="BJ240" si="3808">IF(BJ241=0,0,BI240+1)</f>
        <v>0</v>
      </c>
      <c r="BK240" s="196">
        <f t="shared" ref="BK240" si="3809">IF(BK241=0,0,BJ240+1)</f>
        <v>0</v>
      </c>
    </row>
    <row r="241" spans="1:63" ht="7.8" x14ac:dyDescent="0.15">
      <c r="A241" s="216" t="s">
        <v>178</v>
      </c>
      <c r="B241" s="192"/>
      <c r="C241" s="192"/>
      <c r="D241" s="192"/>
      <c r="E241" s="192"/>
      <c r="F241" s="192"/>
      <c r="G241" s="192"/>
      <c r="H241" s="192"/>
      <c r="I241" s="192"/>
      <c r="J241" s="192"/>
      <c r="K241" s="192"/>
      <c r="L241" s="192"/>
      <c r="M241" s="192"/>
      <c r="N241" s="192"/>
      <c r="O241" s="192"/>
      <c r="P241" s="192"/>
      <c r="Q241" s="192"/>
      <c r="R241" s="192"/>
      <c r="S241" s="192"/>
      <c r="T241" s="192"/>
      <c r="U241" s="192"/>
      <c r="V241" s="192"/>
      <c r="W241" s="192"/>
      <c r="X241" s="192"/>
      <c r="Y241" s="192"/>
      <c r="Z241" s="192"/>
      <c r="AA241" s="192"/>
      <c r="AB241" s="192"/>
      <c r="AC241" s="192"/>
      <c r="AD241" s="217">
        <f>LoanSize</f>
        <v>25</v>
      </c>
      <c r="AE241" s="215">
        <f>IF(AD241-AD244&lt;=0.1,0,AD241-AD244)</f>
        <v>23.79027212253634</v>
      </c>
      <c r="AF241" s="215">
        <f t="shared" ref="AF241:BK241" si="3810">IF(AE241-AE244&lt;=0.1,0,AE241-AE244)</f>
        <v>22.56189427362845</v>
      </c>
      <c r="AG241" s="215">
        <f t="shared" si="3810"/>
        <v>21.314578932883229</v>
      </c>
      <c r="AH241" s="215">
        <f t="shared" si="3810"/>
        <v>20.048034147301522</v>
      </c>
      <c r="AI241" s="215">
        <f t="shared" si="3810"/>
        <v>18.761963462942095</v>
      </c>
      <c r="AJ241" s="215">
        <f t="shared" si="3810"/>
        <v>17.456065855532128</v>
      </c>
      <c r="AK241" s="215">
        <f t="shared" si="3810"/>
        <v>16.130035660007923</v>
      </c>
      <c r="AL241" s="215">
        <f t="shared" si="3810"/>
        <v>14.783562498969387</v>
      </c>
      <c r="AM241" s="215">
        <f t="shared" si="3810"/>
        <v>13.416331210031506</v>
      </c>
      <c r="AN241" s="215">
        <f t="shared" si="3810"/>
        <v>12.028021772055833</v>
      </c>
      <c r="AO241" s="215">
        <f t="shared" si="3810"/>
        <v>10.618309230244702</v>
      </c>
      <c r="AP241" s="215">
        <f t="shared" si="3810"/>
        <v>9.1868636200806488</v>
      </c>
      <c r="AQ241" s="215">
        <f t="shared" si="3810"/>
        <v>7.7333498900932334</v>
      </c>
      <c r="AR241" s="215">
        <f t="shared" si="3810"/>
        <v>6.2574278234351794</v>
      </c>
      <c r="AS241" s="215">
        <f t="shared" si="3810"/>
        <v>4.7587519582494799</v>
      </c>
      <c r="AT241" s="215">
        <f t="shared" si="3810"/>
        <v>3.2369715068088345</v>
      </c>
      <c r="AU241" s="215">
        <f t="shared" si="3810"/>
        <v>1.6917302734084789</v>
      </c>
      <c r="AV241" s="215">
        <f t="shared" si="3810"/>
        <v>0.12266657099320111</v>
      </c>
      <c r="AW241" s="215">
        <f t="shared" si="3810"/>
        <v>0</v>
      </c>
      <c r="AX241" s="215">
        <f t="shared" si="3810"/>
        <v>0</v>
      </c>
      <c r="AY241" s="215">
        <f t="shared" si="3810"/>
        <v>0</v>
      </c>
      <c r="AZ241" s="215">
        <f t="shared" si="3810"/>
        <v>0</v>
      </c>
      <c r="BA241" s="215">
        <f t="shared" si="3810"/>
        <v>0</v>
      </c>
      <c r="BB241" s="215">
        <f t="shared" si="3810"/>
        <v>0</v>
      </c>
      <c r="BC241" s="215">
        <f t="shared" si="3810"/>
        <v>0</v>
      </c>
      <c r="BD241" s="215">
        <f t="shared" si="3810"/>
        <v>0</v>
      </c>
      <c r="BE241" s="215">
        <f t="shared" si="3810"/>
        <v>0</v>
      </c>
      <c r="BF241" s="215">
        <f t="shared" si="3810"/>
        <v>0</v>
      </c>
      <c r="BG241" s="215">
        <f t="shared" si="3810"/>
        <v>0</v>
      </c>
      <c r="BH241" s="215">
        <f t="shared" si="3810"/>
        <v>0</v>
      </c>
      <c r="BI241" s="215">
        <f t="shared" si="3810"/>
        <v>0</v>
      </c>
      <c r="BJ241" s="215">
        <f t="shared" si="3810"/>
        <v>0</v>
      </c>
      <c r="BK241" s="215">
        <f t="shared" si="3810"/>
        <v>0</v>
      </c>
    </row>
    <row r="242" spans="1:63" ht="7.8" x14ac:dyDescent="0.15">
      <c r="A242" s="218" t="s">
        <v>179</v>
      </c>
      <c r="B242" s="192"/>
      <c r="C242" s="192"/>
      <c r="D242" s="192"/>
      <c r="E242" s="192"/>
      <c r="F242" s="192"/>
      <c r="G242" s="192"/>
      <c r="H242" s="192"/>
      <c r="I242" s="192"/>
      <c r="J242" s="192"/>
      <c r="K242" s="192"/>
      <c r="L242" s="192"/>
      <c r="M242" s="192"/>
      <c r="N242" s="192"/>
      <c r="O242" s="192"/>
      <c r="P242" s="192"/>
      <c r="Q242" s="192"/>
      <c r="R242" s="192"/>
      <c r="S242" s="192"/>
      <c r="T242" s="192"/>
      <c r="U242" s="192"/>
      <c r="V242" s="192"/>
      <c r="W242" s="192"/>
      <c r="X242" s="192"/>
      <c r="Y242" s="192"/>
      <c r="Z242" s="192"/>
      <c r="AA242" s="192"/>
      <c r="AB242" s="192"/>
      <c r="AC242" s="192"/>
      <c r="AD242" s="219">
        <f>IF(AD241=0,0,PMT(INDEX(LoanCohortRate,1),LoanTerm, -LoanSize))</f>
        <v>1.5951445441303251</v>
      </c>
      <c r="AE242" s="222">
        <f t="shared" ref="AE242" si="3811">IF(AE241=0,0, AD242)</f>
        <v>1.5951445441303251</v>
      </c>
      <c r="AF242" s="222">
        <f t="shared" ref="AF242" si="3812">IF(AF241=0,0, AE242)</f>
        <v>1.5951445441303251</v>
      </c>
      <c r="AG242" s="222">
        <f t="shared" ref="AG242" si="3813">IF(AG241=0,0, AF242)</f>
        <v>1.5951445441303251</v>
      </c>
      <c r="AH242" s="222">
        <f t="shared" ref="AH242" si="3814">IF(AH241=0,0, AG242)</f>
        <v>1.5951445441303251</v>
      </c>
      <c r="AI242" s="222">
        <f t="shared" ref="AI242" si="3815">IF(AI241=0,0, AH242)</f>
        <v>1.5951445441303251</v>
      </c>
      <c r="AJ242" s="222">
        <f t="shared" ref="AJ242" si="3816">IF(AJ241=0,0, AI242)</f>
        <v>1.5951445441303251</v>
      </c>
      <c r="AK242" s="222">
        <f t="shared" ref="AK242" si="3817">IF(AK241=0,0, AJ242)</f>
        <v>1.5951445441303251</v>
      </c>
      <c r="AL242" s="222">
        <f t="shared" ref="AL242" si="3818">IF(AL241=0,0, AK242)</f>
        <v>1.5951445441303251</v>
      </c>
      <c r="AM242" s="222">
        <f t="shared" ref="AM242" si="3819">IF(AM241=0,0, AL242)</f>
        <v>1.5951445441303251</v>
      </c>
      <c r="AN242" s="222">
        <f t="shared" ref="AN242" si="3820">IF(AN241=0,0, AM242)</f>
        <v>1.5951445441303251</v>
      </c>
      <c r="AO242" s="222">
        <f t="shared" ref="AO242" si="3821">IF(AO241=0,0, AN242)</f>
        <v>1.5951445441303251</v>
      </c>
      <c r="AP242" s="222">
        <f t="shared" ref="AP242" si="3822">IF(AP241=0,0, AO242)</f>
        <v>1.5951445441303251</v>
      </c>
      <c r="AQ242" s="222">
        <f t="shared" ref="AQ242" si="3823">IF(AQ241=0,0, AP242)</f>
        <v>1.5951445441303251</v>
      </c>
      <c r="AR242" s="222">
        <f t="shared" ref="AR242" si="3824">IF(AR241=0,0, AQ242)</f>
        <v>1.5951445441303251</v>
      </c>
      <c r="AS242" s="222">
        <f t="shared" ref="AS242" si="3825">IF(AS241=0,0, AR242)</f>
        <v>1.5951445441303251</v>
      </c>
      <c r="AT242" s="222">
        <f t="shared" ref="AT242" si="3826">IF(AT241=0,0, AS242)</f>
        <v>1.5951445441303251</v>
      </c>
      <c r="AU242" s="222">
        <f t="shared" ref="AU242" si="3827">IF(AU241=0,0, AT242)</f>
        <v>1.5951445441303251</v>
      </c>
      <c r="AV242" s="222">
        <f t="shared" ref="AV242" si="3828">IF(AV241=0,0, AU242)</f>
        <v>1.5951445441303251</v>
      </c>
      <c r="AW242" s="222">
        <f t="shared" ref="AW242" si="3829">IF(AW241=0,0, AV242)</f>
        <v>0</v>
      </c>
      <c r="AX242" s="222">
        <f t="shared" ref="AX242" si="3830">IF(AX241=0,0, AW242)</f>
        <v>0</v>
      </c>
      <c r="AY242" s="222">
        <f t="shared" ref="AY242" si="3831">IF(AY241=0,0, AX242)</f>
        <v>0</v>
      </c>
      <c r="AZ242" s="222">
        <f t="shared" ref="AZ242" si="3832">IF(AZ241=0,0, AY242)</f>
        <v>0</v>
      </c>
      <c r="BA242" s="222">
        <f t="shared" ref="BA242" si="3833">IF(BA241=0,0, AZ242)</f>
        <v>0</v>
      </c>
      <c r="BB242" s="222">
        <f t="shared" ref="BB242" si="3834">IF(BB241=0,0, BA242)</f>
        <v>0</v>
      </c>
      <c r="BC242" s="222">
        <f t="shared" ref="BC242" si="3835">IF(BC241=0,0, BB242)</f>
        <v>0</v>
      </c>
      <c r="BD242" s="222">
        <f t="shared" ref="BD242" si="3836">IF(BD241=0,0, BC242)</f>
        <v>0</v>
      </c>
      <c r="BE242" s="222">
        <f t="shared" ref="BE242" si="3837">IF(BE241=0,0, BD242)</f>
        <v>0</v>
      </c>
      <c r="BF242" s="222">
        <f t="shared" ref="BF242" si="3838">IF(BF241=0,0, BE242)</f>
        <v>0</v>
      </c>
      <c r="BG242" s="222">
        <f t="shared" ref="BG242" si="3839">IF(BG241=0,0, BF242)</f>
        <v>0</v>
      </c>
      <c r="BH242" s="222">
        <f t="shared" ref="BH242" si="3840">IF(BH241=0,0, BG242)</f>
        <v>0</v>
      </c>
      <c r="BI242" s="222">
        <f t="shared" ref="BI242" si="3841">IF(BI241=0,0, BH242)</f>
        <v>0</v>
      </c>
      <c r="BJ242" s="222">
        <f t="shared" ref="BJ242" si="3842">IF(BJ241=0,0, BI242)</f>
        <v>0</v>
      </c>
      <c r="BK242" s="222">
        <f t="shared" ref="BK242" si="3843">IF(BK241=0,0, BJ242)</f>
        <v>0</v>
      </c>
    </row>
    <row r="243" spans="1:63" ht="7.8" x14ac:dyDescent="0.15">
      <c r="A243" s="218" t="s">
        <v>180</v>
      </c>
      <c r="B243" s="192"/>
      <c r="C243" s="192"/>
      <c r="D243" s="192"/>
      <c r="E243" s="192"/>
      <c r="F243" s="192"/>
      <c r="G243" s="192"/>
      <c r="H243" s="192"/>
      <c r="I243" s="192"/>
      <c r="J243" s="192"/>
      <c r="K243" s="192"/>
      <c r="L243" s="192"/>
      <c r="M243" s="192"/>
      <c r="N243" s="192"/>
      <c r="O243" s="192"/>
      <c r="P243" s="192"/>
      <c r="Q243" s="192"/>
      <c r="R243" s="192"/>
      <c r="S243" s="192"/>
      <c r="T243" s="192"/>
      <c r="U243" s="192"/>
      <c r="V243" s="192"/>
      <c r="W243" s="192"/>
      <c r="X243" s="192"/>
      <c r="Y243" s="192"/>
      <c r="Z243" s="192"/>
      <c r="AA243" s="192"/>
      <c r="AB243" s="192"/>
      <c r="AC243" s="192"/>
      <c r="AD243" s="220" cm="1">
        <f t="array" ref="AD243">AD241*INDEX(LoanCohortRate,$A240)</f>
        <v>0.38541666666666669</v>
      </c>
      <c r="AE243" s="221" cm="1">
        <f t="array" ref="AE243">AE241*INDEX(LoanCohortRate,$A240)</f>
        <v>0.36676669522243527</v>
      </c>
      <c r="AF243" s="221" cm="1">
        <f t="array" ref="AF243">AF241*INDEX(LoanCohortRate,$A240)</f>
        <v>0.34782920338510526</v>
      </c>
      <c r="AG243" s="221" cm="1">
        <f t="array" ref="AG243">AG241*INDEX(LoanCohortRate,$A240)</f>
        <v>0.32859975854861645</v>
      </c>
      <c r="AH243" s="221" cm="1">
        <f t="array" ref="AH243">AH241*INDEX(LoanCohortRate,$A240)</f>
        <v>0.30907385977089846</v>
      </c>
      <c r="AI243" s="221" cm="1">
        <f t="array" ref="AI243">AI241*INDEX(LoanCohortRate,$A240)</f>
        <v>0.28924693672035728</v>
      </c>
      <c r="AJ243" s="221" cm="1">
        <f t="array" ref="AJ243">AJ241*INDEX(LoanCohortRate,$A240)</f>
        <v>0.26911434860612032</v>
      </c>
      <c r="AK243" s="221" cm="1">
        <f t="array" ref="AK243">AK241*INDEX(LoanCohortRate,$A240)</f>
        <v>0.24867138309178882</v>
      </c>
      <c r="AL243" s="221" cm="1">
        <f t="array" ref="AL243">AL241*INDEX(LoanCohortRate,$A240)</f>
        <v>0.22791325519244471</v>
      </c>
      <c r="AM243" s="221" cm="1">
        <f t="array" ref="AM243">AM241*INDEX(LoanCohortRate,$A240)</f>
        <v>0.20683510615465239</v>
      </c>
      <c r="AN243" s="221" cm="1">
        <f t="array" ref="AN243">AN241*INDEX(LoanCohortRate,$A240)</f>
        <v>0.1854320023191941</v>
      </c>
      <c r="AO243" s="221" cm="1">
        <f t="array" ref="AO243">AO241*INDEX(LoanCohortRate,$A240)</f>
        <v>0.1636989339662725</v>
      </c>
      <c r="AP243" s="221" cm="1">
        <f t="array" ref="AP243">AP241*INDEX(LoanCohortRate,$A240)</f>
        <v>0.14163081414291001</v>
      </c>
      <c r="AQ243" s="221" cm="1">
        <f t="array" ref="AQ243">AQ241*INDEX(LoanCohortRate,$A240)</f>
        <v>0.11922247747227069</v>
      </c>
      <c r="AR243" s="221" cm="1">
        <f t="array" ref="AR243">AR241*INDEX(LoanCohortRate,$A240)</f>
        <v>9.6468678944625685E-2</v>
      </c>
      <c r="AS243" s="221" cm="1">
        <f t="array" ref="AS243">AS241*INDEX(LoanCohortRate,$A240)</f>
        <v>7.3364092689679486E-2</v>
      </c>
      <c r="AT243" s="221" cm="1">
        <f t="array" ref="AT243">AT241*INDEX(LoanCohortRate,$A240)</f>
        <v>4.9903310729969536E-2</v>
      </c>
      <c r="AU243" s="221" cm="1">
        <f t="array" ref="AU243">AU241*INDEX(LoanCohortRate,$A240)</f>
        <v>2.6080841715047383E-2</v>
      </c>
      <c r="AV243" s="221" cm="1">
        <f t="array" ref="AV243">AV241*INDEX(LoanCohortRate,$A240)</f>
        <v>1.8911096361451838E-3</v>
      </c>
      <c r="AW243" s="221" cm="1">
        <f t="array" ref="AW243">AW241*INDEX(LoanCohortRate,$A240)</f>
        <v>0</v>
      </c>
      <c r="AX243" s="221" cm="1">
        <f t="array" ref="AX243">AX241*INDEX(LoanCohortRate,$A240)</f>
        <v>0</v>
      </c>
      <c r="AY243" s="221" cm="1">
        <f t="array" ref="AY243">AY241*INDEX(LoanCohortRate,$A240)</f>
        <v>0</v>
      </c>
      <c r="AZ243" s="221" cm="1">
        <f t="array" ref="AZ243">AZ241*INDEX(LoanCohortRate,$A240)</f>
        <v>0</v>
      </c>
      <c r="BA243" s="221" cm="1">
        <f t="array" ref="BA243">BA241*INDEX(LoanCohortRate,$A240)</f>
        <v>0</v>
      </c>
      <c r="BB243" s="221" cm="1">
        <f t="array" ref="BB243">BB241*INDEX(LoanCohortRate,$A240)</f>
        <v>0</v>
      </c>
      <c r="BC243" s="221" cm="1">
        <f t="array" ref="BC243">BC241*INDEX(LoanCohortRate,$A240)</f>
        <v>0</v>
      </c>
      <c r="BD243" s="221" cm="1">
        <f t="array" ref="BD243">BD241*INDEX(LoanCohortRate,$A240)</f>
        <v>0</v>
      </c>
      <c r="BE243" s="221" cm="1">
        <f t="array" ref="BE243">BE241*INDEX(LoanCohortRate,$A240)</f>
        <v>0</v>
      </c>
      <c r="BF243" s="221" cm="1">
        <f t="array" ref="BF243">BF241*INDEX(LoanCohortRate,$A240)</f>
        <v>0</v>
      </c>
      <c r="BG243" s="221" cm="1">
        <f t="array" ref="BG243">BG241*INDEX(LoanCohortRate,$A240)</f>
        <v>0</v>
      </c>
      <c r="BH243" s="221" cm="1">
        <f t="array" ref="BH243">BH241*INDEX(LoanCohortRate,$A240)</f>
        <v>0</v>
      </c>
      <c r="BI243" s="221" cm="1">
        <f t="array" ref="BI243">BI241*INDEX(LoanCohortRate,$A240)</f>
        <v>0</v>
      </c>
      <c r="BJ243" s="221" cm="1">
        <f t="array" ref="BJ243">BJ241*INDEX(LoanCohortRate,$A240)</f>
        <v>0</v>
      </c>
      <c r="BK243" s="221" cm="1">
        <f t="array" ref="BK243">BK241*INDEX(LoanCohortRate,$A240)</f>
        <v>0</v>
      </c>
    </row>
    <row r="244" spans="1:63" ht="7.8" x14ac:dyDescent="0.15">
      <c r="A244" s="218" t="s">
        <v>177</v>
      </c>
      <c r="B244" s="192"/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  <c r="P244" s="192"/>
      <c r="Q244" s="192"/>
      <c r="R244" s="192"/>
      <c r="S244" s="192"/>
      <c r="T244" s="192"/>
      <c r="U244" s="192"/>
      <c r="V244" s="192"/>
      <c r="W244" s="192"/>
      <c r="X244" s="192"/>
      <c r="Y244" s="192"/>
      <c r="Z244" s="192"/>
      <c r="AA244" s="192"/>
      <c r="AB244" s="192"/>
      <c r="AC244" s="192"/>
      <c r="AD244" s="219">
        <f>AD242-AD243</f>
        <v>1.2097278774636584</v>
      </c>
      <c r="AE244" s="222">
        <f t="shared" ref="AE244:BK244" si="3844">AE242-AE243</f>
        <v>1.2283778489078898</v>
      </c>
      <c r="AF244" s="222">
        <f t="shared" si="3844"/>
        <v>1.24731534074522</v>
      </c>
      <c r="AG244" s="222">
        <f t="shared" si="3844"/>
        <v>1.2665447855817087</v>
      </c>
      <c r="AH244" s="222">
        <f t="shared" si="3844"/>
        <v>1.2860706843594267</v>
      </c>
      <c r="AI244" s="222">
        <f t="shared" si="3844"/>
        <v>1.305897607409968</v>
      </c>
      <c r="AJ244" s="222">
        <f t="shared" si="3844"/>
        <v>1.3260301955242049</v>
      </c>
      <c r="AK244" s="222">
        <f t="shared" si="3844"/>
        <v>1.3464731610385363</v>
      </c>
      <c r="AL244" s="222">
        <f t="shared" si="3844"/>
        <v>1.3672312889378804</v>
      </c>
      <c r="AM244" s="222">
        <f t="shared" si="3844"/>
        <v>1.3883094379756726</v>
      </c>
      <c r="AN244" s="222">
        <f t="shared" si="3844"/>
        <v>1.4097125418111309</v>
      </c>
      <c r="AO244" s="222">
        <f t="shared" si="3844"/>
        <v>1.4314456101640527</v>
      </c>
      <c r="AP244" s="222">
        <f t="shared" si="3844"/>
        <v>1.453513729987415</v>
      </c>
      <c r="AQ244" s="222">
        <f t="shared" si="3844"/>
        <v>1.4759220666580544</v>
      </c>
      <c r="AR244" s="222">
        <f t="shared" si="3844"/>
        <v>1.4986758651856995</v>
      </c>
      <c r="AS244" s="222">
        <f t="shared" si="3844"/>
        <v>1.5217804514406457</v>
      </c>
      <c r="AT244" s="222">
        <f t="shared" si="3844"/>
        <v>1.5452412334003556</v>
      </c>
      <c r="AU244" s="222">
        <f t="shared" si="3844"/>
        <v>1.5690637024152778</v>
      </c>
      <c r="AV244" s="222">
        <f t="shared" si="3844"/>
        <v>1.59325343449418</v>
      </c>
      <c r="AW244" s="222">
        <f t="shared" si="3844"/>
        <v>0</v>
      </c>
      <c r="AX244" s="222">
        <f t="shared" si="3844"/>
        <v>0</v>
      </c>
      <c r="AY244" s="222">
        <f t="shared" si="3844"/>
        <v>0</v>
      </c>
      <c r="AZ244" s="222">
        <f t="shared" si="3844"/>
        <v>0</v>
      </c>
      <c r="BA244" s="222">
        <f t="shared" si="3844"/>
        <v>0</v>
      </c>
      <c r="BB244" s="222">
        <f t="shared" si="3844"/>
        <v>0</v>
      </c>
      <c r="BC244" s="222">
        <f t="shared" si="3844"/>
        <v>0</v>
      </c>
      <c r="BD244" s="222">
        <f t="shared" si="3844"/>
        <v>0</v>
      </c>
      <c r="BE244" s="222">
        <f t="shared" si="3844"/>
        <v>0</v>
      </c>
      <c r="BF244" s="222">
        <f t="shared" si="3844"/>
        <v>0</v>
      </c>
      <c r="BG244" s="222">
        <f t="shared" si="3844"/>
        <v>0</v>
      </c>
      <c r="BH244" s="222">
        <f t="shared" si="3844"/>
        <v>0</v>
      </c>
      <c r="BI244" s="222">
        <f t="shared" si="3844"/>
        <v>0</v>
      </c>
      <c r="BJ244" s="222">
        <f t="shared" si="3844"/>
        <v>0</v>
      </c>
      <c r="BK244" s="222">
        <f t="shared" si="3844"/>
        <v>0</v>
      </c>
    </row>
    <row r="245" spans="1:63" ht="7.8" x14ac:dyDescent="0.15">
      <c r="A245" s="205" t="s">
        <v>7</v>
      </c>
      <c r="B245" s="192"/>
      <c r="C245" s="192"/>
      <c r="D245" s="192"/>
      <c r="E245" s="192"/>
      <c r="F245" s="192"/>
      <c r="G245" s="192"/>
      <c r="H245" s="192"/>
      <c r="I245" s="192"/>
      <c r="J245" s="192"/>
      <c r="K245" s="192"/>
      <c r="L245" s="192"/>
      <c r="M245" s="192"/>
      <c r="N245" s="192"/>
      <c r="O245" s="192"/>
      <c r="P245" s="192"/>
      <c r="Q245" s="192"/>
      <c r="R245" s="192"/>
      <c r="S245" s="192"/>
      <c r="T245" s="192"/>
      <c r="U245" s="192"/>
      <c r="V245" s="192"/>
      <c r="W245" s="192"/>
      <c r="X245" s="192"/>
      <c r="Y245" s="192"/>
      <c r="Z245" s="192"/>
      <c r="AA245" s="192"/>
      <c r="AB245" s="192"/>
      <c r="AC245" s="192"/>
      <c r="AD245" s="214" cm="1">
        <f t="array" ref="AD245">INDEX(LoanOriginations,$A240)</f>
        <v>113.84595529618473</v>
      </c>
      <c r="AE245" s="199">
        <f t="shared" ref="AE245:BK245" si="3845">AD245*(1-MitigateDelinquency*MitigateChargeoff)  *  IF(AE240=0,0,IF(AE240-102=LoanSaleHeld,0.6,1))</f>
        <v>113.73210934088854</v>
      </c>
      <c r="AF245" s="199">
        <f t="shared" si="3845"/>
        <v>113.61837723154765</v>
      </c>
      <c r="AG245" s="199">
        <f t="shared" si="3845"/>
        <v>113.50475885431611</v>
      </c>
      <c r="AH245" s="199">
        <f t="shared" si="3845"/>
        <v>68.034752457277065</v>
      </c>
      <c r="AI245" s="199">
        <f t="shared" si="3845"/>
        <v>67.966717704819786</v>
      </c>
      <c r="AJ245" s="199">
        <f t="shared" si="3845"/>
        <v>67.898750987114965</v>
      </c>
      <c r="AK245" s="199">
        <f t="shared" si="3845"/>
        <v>67.830852236127853</v>
      </c>
      <c r="AL245" s="199">
        <f t="shared" si="3845"/>
        <v>67.763021383891726</v>
      </c>
      <c r="AM245" s="199">
        <f t="shared" si="3845"/>
        <v>67.695258362507829</v>
      </c>
      <c r="AN245" s="199">
        <f t="shared" si="3845"/>
        <v>67.627563104145324</v>
      </c>
      <c r="AO245" s="199">
        <f t="shared" si="3845"/>
        <v>67.559935541041185</v>
      </c>
      <c r="AP245" s="199">
        <f t="shared" si="3845"/>
        <v>67.492375605500143</v>
      </c>
      <c r="AQ245" s="199">
        <f t="shared" si="3845"/>
        <v>67.424883229894647</v>
      </c>
      <c r="AR245" s="199">
        <f t="shared" si="3845"/>
        <v>67.357458346664757</v>
      </c>
      <c r="AS245" s="199">
        <f t="shared" si="3845"/>
        <v>67.290100888318094</v>
      </c>
      <c r="AT245" s="199">
        <f t="shared" si="3845"/>
        <v>67.222810787429779</v>
      </c>
      <c r="AU245" s="199">
        <f t="shared" si="3845"/>
        <v>67.155587976642352</v>
      </c>
      <c r="AV245" s="199">
        <f t="shared" si="3845"/>
        <v>67.088432388665709</v>
      </c>
      <c r="AW245" s="199">
        <f t="shared" si="3845"/>
        <v>0</v>
      </c>
      <c r="AX245" s="199">
        <f t="shared" si="3845"/>
        <v>0</v>
      </c>
      <c r="AY245" s="199">
        <f t="shared" si="3845"/>
        <v>0</v>
      </c>
      <c r="AZ245" s="199">
        <f t="shared" si="3845"/>
        <v>0</v>
      </c>
      <c r="BA245" s="199">
        <f t="shared" si="3845"/>
        <v>0</v>
      </c>
      <c r="BB245" s="199">
        <f t="shared" si="3845"/>
        <v>0</v>
      </c>
      <c r="BC245" s="199">
        <f t="shared" si="3845"/>
        <v>0</v>
      </c>
      <c r="BD245" s="199">
        <f t="shared" si="3845"/>
        <v>0</v>
      </c>
      <c r="BE245" s="199">
        <f t="shared" si="3845"/>
        <v>0</v>
      </c>
      <c r="BF245" s="199">
        <f t="shared" si="3845"/>
        <v>0</v>
      </c>
      <c r="BG245" s="199">
        <f t="shared" si="3845"/>
        <v>0</v>
      </c>
      <c r="BH245" s="199">
        <f t="shared" si="3845"/>
        <v>0</v>
      </c>
      <c r="BI245" s="199">
        <f t="shared" si="3845"/>
        <v>0</v>
      </c>
      <c r="BJ245" s="199">
        <f t="shared" si="3845"/>
        <v>0</v>
      </c>
      <c r="BK245" s="199">
        <f t="shared" si="3845"/>
        <v>0</v>
      </c>
    </row>
    <row r="246" spans="1:63" ht="7.8" x14ac:dyDescent="0.15">
      <c r="A246" s="207" t="s">
        <v>96</v>
      </c>
      <c r="B246" s="192"/>
      <c r="C246" s="192"/>
      <c r="D246" s="192"/>
      <c r="E246" s="192"/>
      <c r="F246" s="192"/>
      <c r="G246" s="192"/>
      <c r="H246" s="192"/>
      <c r="I246" s="192"/>
      <c r="J246" s="192"/>
      <c r="K246" s="192"/>
      <c r="L246" s="192"/>
      <c r="M246" s="192"/>
      <c r="N246" s="192"/>
      <c r="O246" s="192"/>
      <c r="P246" s="192"/>
      <c r="Q246" s="192"/>
      <c r="R246" s="192"/>
      <c r="S246" s="192"/>
      <c r="T246" s="192"/>
      <c r="U246" s="192"/>
      <c r="V246" s="192"/>
      <c r="W246" s="192"/>
      <c r="X246" s="192"/>
      <c r="Y246" s="192"/>
      <c r="Z246" s="192"/>
      <c r="AA246" s="192"/>
      <c r="AB246" s="192"/>
      <c r="AC246" s="192"/>
      <c r="AD246" s="223">
        <f>AD243*AD245</f>
        <v>43.878128603737864</v>
      </c>
      <c r="AE246" s="200">
        <f t="shared" ref="AE246" si="3846">AE243*AE245</f>
        <v>41.713149883634351</v>
      </c>
      <c r="AF246" s="200">
        <f t="shared" ref="AF246" si="3847">AF243*AF245</f>
        <v>39.519789642357601</v>
      </c>
      <c r="AG246" s="200">
        <f t="shared" ref="AG246" si="3848">AG243*AG245</f>
        <v>37.297636353647206</v>
      </c>
      <c r="AH246" s="200">
        <f t="shared" ref="AH246" si="3849">AH243*AH245</f>
        <v>21.027763540528241</v>
      </c>
      <c r="AI246" s="200">
        <f t="shared" ref="AI246" si="3850">AI243*AI245</f>
        <v>19.659164895056396</v>
      </c>
      <c r="AJ246" s="200">
        <f t="shared" ref="AJ246" si="3851">AJ243*AJ245</f>
        <v>18.272528143066612</v>
      </c>
      <c r="AK246" s="200">
        <f t="shared" ref="AK246" si="3852">AK243*AK245</f>
        <v>16.867591841852668</v>
      </c>
      <c r="AL246" s="200">
        <f t="shared" ref="AL246" si="3853">AL243*AL245</f>
        <v>15.444090785278002</v>
      </c>
      <c r="AM246" s="200">
        <f t="shared" ref="AM246" si="3854">AM243*AM245</f>
        <v>14.001755949575927</v>
      </c>
      <c r="AN246" s="200">
        <f t="shared" ref="AN246" si="3855">AN243*AN245</f>
        <v>12.540314438369322</v>
      </c>
      <c r="AO246" s="200">
        <f t="shared" ref="AO246" si="3856">AO243*AO245</f>
        <v>11.059489426898526</v>
      </c>
      <c r="AP246" s="200">
        <f t="shared" ref="AP246" si="3857">AP243*AP245</f>
        <v>9.5590001054460636</v>
      </c>
      <c r="AQ246" s="200">
        <f t="shared" ref="AQ246" si="3858">AQ243*AQ245</f>
        <v>8.038561621946597</v>
      </c>
      <c r="AR246" s="200">
        <f t="shared" ref="AR246" si="3859">AR243*AR245</f>
        <v>6.4978850237704</v>
      </c>
      <c r="AS246" s="200">
        <f t="shared" ref="AS246" si="3860">AS243*AS245</f>
        <v>4.9366771986684528</v>
      </c>
      <c r="AT246" s="200">
        <f t="shared" ref="AT246" si="3861">AT243*AT245</f>
        <v>3.3546408148670563</v>
      </c>
      <c r="AU246" s="200">
        <f t="shared" ref="AU246" si="3862">AU243*AU245</f>
        <v>1.7514742602997484</v>
      </c>
      <c r="AV246" s="200">
        <f t="shared" ref="AV246" si="3863">AV243*AV245</f>
        <v>0.12687158096408038</v>
      </c>
      <c r="AW246" s="200">
        <f t="shared" ref="AW246" si="3864">AW243*AW245</f>
        <v>0</v>
      </c>
      <c r="AX246" s="200">
        <f t="shared" ref="AX246" si="3865">AX243*AX245</f>
        <v>0</v>
      </c>
      <c r="AY246" s="200">
        <f t="shared" ref="AY246" si="3866">AY243*AY245</f>
        <v>0</v>
      </c>
      <c r="AZ246" s="200">
        <f t="shared" ref="AZ246" si="3867">AZ243*AZ245</f>
        <v>0</v>
      </c>
      <c r="BA246" s="200">
        <f t="shared" ref="BA246" si="3868">BA243*BA245</f>
        <v>0</v>
      </c>
      <c r="BB246" s="200">
        <f t="shared" ref="BB246" si="3869">BB243*BB245</f>
        <v>0</v>
      </c>
      <c r="BC246" s="200">
        <f t="shared" ref="BC246" si="3870">BC243*BC245</f>
        <v>0</v>
      </c>
      <c r="BD246" s="200">
        <f t="shared" ref="BD246" si="3871">BD243*BD245</f>
        <v>0</v>
      </c>
      <c r="BE246" s="200">
        <f t="shared" ref="BE246" si="3872">BE243*BE245</f>
        <v>0</v>
      </c>
      <c r="BF246" s="200">
        <f t="shared" ref="BF246" si="3873">BF243*BF245</f>
        <v>0</v>
      </c>
      <c r="BG246" s="200">
        <f t="shared" ref="BG246" si="3874">BG243*BG245</f>
        <v>0</v>
      </c>
      <c r="BH246" s="200">
        <f t="shared" ref="BH246" si="3875">BH243*BH245</f>
        <v>0</v>
      </c>
      <c r="BI246" s="200">
        <f t="shared" ref="BI246" si="3876">BI243*BI245</f>
        <v>0</v>
      </c>
      <c r="BJ246" s="200">
        <f t="shared" ref="BJ246" si="3877">BJ243*BJ245</f>
        <v>0</v>
      </c>
      <c r="BK246" s="200">
        <f t="shared" ref="BK246" si="3878">BK243*BK245</f>
        <v>0</v>
      </c>
    </row>
    <row r="247" spans="1:63" ht="7.8" x14ac:dyDescent="0.15">
      <c r="A247" s="206" t="s">
        <v>97</v>
      </c>
      <c r="B247" s="192"/>
      <c r="C247" s="192"/>
      <c r="D247" s="192"/>
      <c r="E247" s="192"/>
      <c r="F247" s="192"/>
      <c r="G247" s="192"/>
      <c r="H247" s="192"/>
      <c r="I247" s="192"/>
      <c r="J247" s="192"/>
      <c r="K247" s="192"/>
      <c r="L247" s="192"/>
      <c r="M247" s="192"/>
      <c r="N247" s="192"/>
      <c r="O247" s="192"/>
      <c r="P247" s="192"/>
      <c r="Q247" s="192"/>
      <c r="R247" s="192"/>
      <c r="S247" s="192"/>
      <c r="T247" s="192"/>
      <c r="U247" s="192"/>
      <c r="V247" s="192"/>
      <c r="W247" s="192"/>
      <c r="X247" s="192"/>
      <c r="Y247" s="192"/>
      <c r="Z247" s="192"/>
      <c r="AA247" s="192"/>
      <c r="AB247" s="192"/>
      <c r="AC247" s="192"/>
      <c r="AD247" s="223">
        <f>AD244*AD245</f>
        <v>137.72262585827607</v>
      </c>
      <c r="AE247" s="200">
        <f>AE244*AE245</f>
        <v>139.7060038239176</v>
      </c>
      <c r="AF247" s="200">
        <f t="shared" ref="AF247:BK247" si="3879">AF244*AF245</f>
        <v>141.7179449114868</v>
      </c>
      <c r="AG247" s="200">
        <f t="shared" si="3879"/>
        <v>143.75886046564335</v>
      </c>
      <c r="AH247" s="200">
        <f t="shared" si="3879"/>
        <v>87.4975006529545</v>
      </c>
      <c r="AI247" s="200">
        <f t="shared" si="3879"/>
        <v>88.757574034232874</v>
      </c>
      <c r="AJ247" s="200">
        <f t="shared" si="3879"/>
        <v>90.035794047293351</v>
      </c>
      <c r="AK247" s="200">
        <f t="shared" si="3879"/>
        <v>91.332422026316934</v>
      </c>
      <c r="AL247" s="200">
        <f t="shared" si="3879"/>
        <v>92.647723069023428</v>
      </c>
      <c r="AM247" s="200">
        <f t="shared" si="3879"/>
        <v>93.981966090871197</v>
      </c>
      <c r="AN247" s="200">
        <f t="shared" si="3879"/>
        <v>95.335423880037354</v>
      </c>
      <c r="AO247" s="200">
        <f t="shared" si="3879"/>
        <v>96.708373153189768</v>
      </c>
      <c r="AP247" s="200">
        <f t="shared" si="3879"/>
        <v>98.101094612062127</v>
      </c>
      <c r="AQ247" s="200">
        <f t="shared" si="3879"/>
        <v>99.5138730008441</v>
      </c>
      <c r="AR247" s="200">
        <f t="shared" si="3879"/>
        <v>100.94699716439752</v>
      </c>
      <c r="AS247" s="200">
        <f t="shared" si="3879"/>
        <v>102.4007601073113</v>
      </c>
      <c r="AT247" s="200">
        <f t="shared" si="3879"/>
        <v>103.87545905380672</v>
      </c>
      <c r="AU247" s="200">
        <f t="shared" si="3879"/>
        <v>105.37139550850536</v>
      </c>
      <c r="AV247" s="200">
        <f t="shared" si="3879"/>
        <v>106.88887531807222</v>
      </c>
      <c r="AW247" s="200">
        <f t="shared" si="3879"/>
        <v>0</v>
      </c>
      <c r="AX247" s="200">
        <f t="shared" si="3879"/>
        <v>0</v>
      </c>
      <c r="AY247" s="200">
        <f t="shared" si="3879"/>
        <v>0</v>
      </c>
      <c r="AZ247" s="200">
        <f t="shared" si="3879"/>
        <v>0</v>
      </c>
      <c r="BA247" s="200">
        <f t="shared" si="3879"/>
        <v>0</v>
      </c>
      <c r="BB247" s="200">
        <f t="shared" si="3879"/>
        <v>0</v>
      </c>
      <c r="BC247" s="200">
        <f t="shared" si="3879"/>
        <v>0</v>
      </c>
      <c r="BD247" s="200">
        <f t="shared" si="3879"/>
        <v>0</v>
      </c>
      <c r="BE247" s="200">
        <f t="shared" si="3879"/>
        <v>0</v>
      </c>
      <c r="BF247" s="200">
        <f t="shared" si="3879"/>
        <v>0</v>
      </c>
      <c r="BG247" s="200">
        <f t="shared" si="3879"/>
        <v>0</v>
      </c>
      <c r="BH247" s="200">
        <f t="shared" si="3879"/>
        <v>0</v>
      </c>
      <c r="BI247" s="200">
        <f t="shared" si="3879"/>
        <v>0</v>
      </c>
      <c r="BJ247" s="200">
        <f t="shared" si="3879"/>
        <v>0</v>
      </c>
      <c r="BK247" s="200">
        <f t="shared" si="3879"/>
        <v>0</v>
      </c>
    </row>
    <row r="248" spans="1:63" ht="7.8" x14ac:dyDescent="0.15">
      <c r="A248" s="208" t="s">
        <v>203</v>
      </c>
      <c r="B248" s="192"/>
      <c r="C248" s="192"/>
      <c r="D248" s="192"/>
      <c r="E248" s="192"/>
      <c r="F248" s="192"/>
      <c r="G248" s="192"/>
      <c r="H248" s="192"/>
      <c r="I248" s="192"/>
      <c r="J248" s="192"/>
      <c r="K248" s="192"/>
      <c r="L248" s="192"/>
      <c r="M248" s="192"/>
      <c r="N248" s="192"/>
      <c r="O248" s="192"/>
      <c r="P248" s="192"/>
      <c r="Q248" s="192"/>
      <c r="R248" s="192"/>
      <c r="S248" s="192"/>
      <c r="T248" s="192"/>
      <c r="U248" s="192"/>
      <c r="V248" s="192"/>
      <c r="W248" s="192"/>
      <c r="X248" s="192"/>
      <c r="Y248" s="192"/>
      <c r="Z248" s="192"/>
      <c r="AA248" s="192"/>
      <c r="AB248" s="192"/>
      <c r="AC248" s="192"/>
      <c r="AD248" s="224">
        <f>IF(AD240-101&lt;&gt;LoanSaleHeld,0,SUM($D247:AD247)*LoanSalePercent)</f>
        <v>0</v>
      </c>
      <c r="AE248" s="225">
        <f>IF(AE240-101&lt;&gt;LoanSaleHeld,0,SUM($D247:AE247)*LoanSalePercent)</f>
        <v>0</v>
      </c>
      <c r="AF248" s="225">
        <f>IF(AF240-101&lt;&gt;LoanSaleHeld,0,SUM($D247:AF247)*LoanSalePercent)</f>
        <v>0</v>
      </c>
      <c r="AG248" s="225">
        <f>IF(AG240-101&lt;&gt;LoanSaleHeld,0,SUM($D247:AG247)*LoanSalePercent)</f>
        <v>225.16217402372956</v>
      </c>
      <c r="AH248" s="225">
        <f>IF(AH240-101&lt;&gt;LoanSaleHeld,0,SUM($D247:AH247)*LoanSalePercent)</f>
        <v>0</v>
      </c>
      <c r="AI248" s="225">
        <f>IF(AI240-101&lt;&gt;LoanSaleHeld,0,SUM($D247:AI247)*LoanSalePercent)</f>
        <v>0</v>
      </c>
      <c r="AJ248" s="225">
        <f>IF(AJ240-101&lt;&gt;LoanSaleHeld,0,SUM($D247:AJ247)*LoanSalePercent)</f>
        <v>0</v>
      </c>
      <c r="AK248" s="225">
        <f>IF(AK240-101&lt;&gt;LoanSaleHeld,0,SUM($D247:AK247)*LoanSalePercent)</f>
        <v>0</v>
      </c>
      <c r="AL248" s="225">
        <f>IF(AL240-101&lt;&gt;LoanSaleHeld,0,SUM($D247:AL247)*LoanSalePercent)</f>
        <v>0</v>
      </c>
      <c r="AM248" s="225">
        <f>IF(AM240-101&lt;&gt;LoanSaleHeld,0,SUM($D247:AM247)*LoanSalePercent)</f>
        <v>0</v>
      </c>
      <c r="AN248" s="225">
        <f>IF(AN240-101&lt;&gt;LoanSaleHeld,0,SUM($D247:AN247)*LoanSalePercent)</f>
        <v>0</v>
      </c>
      <c r="AO248" s="225">
        <f>IF(AO240-101&lt;&gt;LoanSaleHeld,0,SUM($D247:AO247)*LoanSalePercent)</f>
        <v>0</v>
      </c>
      <c r="AP248" s="225">
        <f>IF(AP240-101&lt;&gt;LoanSaleHeld,0,SUM($D247:AP247)*LoanSalePercent)</f>
        <v>0</v>
      </c>
      <c r="AQ248" s="225">
        <f>IF(AQ240-101&lt;&gt;LoanSaleHeld,0,SUM($D247:AQ247)*LoanSalePercent)</f>
        <v>0</v>
      </c>
      <c r="AR248" s="225">
        <f>IF(AR240-101&lt;&gt;LoanSaleHeld,0,SUM($D247:AR247)*LoanSalePercent)</f>
        <v>0</v>
      </c>
      <c r="AS248" s="225">
        <f>IF(AS240-101&lt;&gt;LoanSaleHeld,0,SUM($D247:AS247)*LoanSalePercent)</f>
        <v>0</v>
      </c>
      <c r="AT248" s="225">
        <f>IF(AT240-101&lt;&gt;LoanSaleHeld,0,SUM($D247:AT247)*LoanSalePercent)</f>
        <v>0</v>
      </c>
      <c r="AU248" s="225">
        <f>IF(AU240-101&lt;&gt;LoanSaleHeld,0,SUM($D247:AU247)*LoanSalePercent)</f>
        <v>0</v>
      </c>
      <c r="AV248" s="225">
        <f>IF(AV240-101&lt;&gt;LoanSaleHeld,0,SUM($D247:AV247)*LoanSalePercent)</f>
        <v>0</v>
      </c>
      <c r="AW248" s="225">
        <f>IF(AW240-101&lt;&gt;LoanSaleHeld,0,SUM($D247:AW247)*LoanSalePercent)</f>
        <v>0</v>
      </c>
      <c r="AX248" s="225">
        <f>IF(AX240-101&lt;&gt;LoanSaleHeld,0,SUM($D247:AX247)*LoanSalePercent)</f>
        <v>0</v>
      </c>
      <c r="AY248" s="225">
        <f>IF(AY240-101&lt;&gt;LoanSaleHeld,0,SUM($D247:AY247)*LoanSalePercent)</f>
        <v>0</v>
      </c>
      <c r="AZ248" s="225">
        <f>IF(AZ240-101&lt;&gt;LoanSaleHeld,0,SUM($D247:AZ247)*LoanSalePercent)</f>
        <v>0</v>
      </c>
      <c r="BA248" s="225">
        <f>IF(BA240-101&lt;&gt;LoanSaleHeld,0,SUM($D247:BA247)*LoanSalePercent)</f>
        <v>0</v>
      </c>
      <c r="BB248" s="225">
        <f>IF(BB240-101&lt;&gt;LoanSaleHeld,0,SUM($D247:BB247)*LoanSalePercent)</f>
        <v>0</v>
      </c>
      <c r="BC248" s="225">
        <f>IF(BC240-101&lt;&gt;LoanSaleHeld,0,SUM($D247:BC247)*LoanSalePercent)</f>
        <v>0</v>
      </c>
      <c r="BD248" s="225">
        <f>IF(BD240-101&lt;&gt;LoanSaleHeld,0,SUM($D247:BD247)*LoanSalePercent)</f>
        <v>0</v>
      </c>
      <c r="BE248" s="225">
        <f>IF(BE240-101&lt;&gt;LoanSaleHeld,0,SUM($D247:BE247)*LoanSalePercent)</f>
        <v>0</v>
      </c>
      <c r="BF248" s="225">
        <f>IF(BF240-101&lt;&gt;LoanSaleHeld,0,SUM($D247:BF247)*LoanSalePercent)</f>
        <v>0</v>
      </c>
      <c r="BG248" s="225">
        <f>IF(BG240-101&lt;&gt;LoanSaleHeld,0,SUM($D247:BG247)*LoanSalePercent)</f>
        <v>0</v>
      </c>
      <c r="BH248" s="225">
        <f>IF(BH240-101&lt;&gt;LoanSaleHeld,0,SUM($D247:BH247)*LoanSalePercent)</f>
        <v>0</v>
      </c>
      <c r="BI248" s="225">
        <f>IF(BI240-101&lt;&gt;LoanSaleHeld,0,SUM($D247:BI247)*LoanSalePercent)</f>
        <v>0</v>
      </c>
      <c r="BJ248" s="225">
        <f>IF(BJ240-101&lt;&gt;LoanSaleHeld,0,SUM($D247:BJ247)*LoanSalePercent)</f>
        <v>0</v>
      </c>
      <c r="BK248" s="225">
        <f>IF(BK240-101&lt;&gt;LoanSaleHeld,0,SUM($D247:BK247)*LoanSalePercent)</f>
        <v>0</v>
      </c>
    </row>
    <row r="249" spans="1:63" ht="7.8" x14ac:dyDescent="0.15">
      <c r="A249" s="204">
        <f t="shared" ref="A249" si="3880">A240+1</f>
        <v>28</v>
      </c>
      <c r="B249" s="192"/>
      <c r="C249" s="192"/>
      <c r="D249" s="192"/>
      <c r="E249" s="192"/>
      <c r="F249" s="192"/>
      <c r="G249" s="192"/>
      <c r="H249" s="192"/>
      <c r="I249" s="192"/>
      <c r="J249" s="192"/>
      <c r="K249" s="192"/>
      <c r="L249" s="192"/>
      <c r="M249" s="192"/>
      <c r="N249" s="192"/>
      <c r="O249" s="192"/>
      <c r="P249" s="192"/>
      <c r="Q249" s="192"/>
      <c r="R249" s="192"/>
      <c r="S249" s="192"/>
      <c r="T249" s="192"/>
      <c r="U249" s="192"/>
      <c r="V249" s="192"/>
      <c r="W249" s="192"/>
      <c r="X249" s="192"/>
      <c r="Y249" s="192"/>
      <c r="Z249" s="192"/>
      <c r="AA249" s="192"/>
      <c r="AB249" s="192"/>
      <c r="AC249" s="192"/>
      <c r="AD249" s="192"/>
      <c r="AE249" s="195">
        <v>101</v>
      </c>
      <c r="AF249" s="196">
        <f t="shared" ref="AF249" si="3881">IF(AF250=0,0,AE249+1)</f>
        <v>102</v>
      </c>
      <c r="AG249" s="196">
        <f t="shared" ref="AG249" si="3882">IF(AG250=0,0,AF249+1)</f>
        <v>103</v>
      </c>
      <c r="AH249" s="196">
        <f t="shared" ref="AH249" si="3883">IF(AH250=0,0,AG249+1)</f>
        <v>104</v>
      </c>
      <c r="AI249" s="196">
        <f t="shared" ref="AI249" si="3884">IF(AI250=0,0,AH249+1)</f>
        <v>105</v>
      </c>
      <c r="AJ249" s="196">
        <f t="shared" ref="AJ249" si="3885">IF(AJ250=0,0,AI249+1)</f>
        <v>106</v>
      </c>
      <c r="AK249" s="196">
        <f t="shared" ref="AK249" si="3886">IF(AK250=0,0,AJ249+1)</f>
        <v>107</v>
      </c>
      <c r="AL249" s="196">
        <f t="shared" ref="AL249" si="3887">IF(AL250=0,0,AK249+1)</f>
        <v>108</v>
      </c>
      <c r="AM249" s="196">
        <f t="shared" ref="AM249" si="3888">IF(AM250=0,0,AL249+1)</f>
        <v>109</v>
      </c>
      <c r="AN249" s="196">
        <f t="shared" ref="AN249" si="3889">IF(AN250=0,0,AM249+1)</f>
        <v>110</v>
      </c>
      <c r="AO249" s="196">
        <f t="shared" ref="AO249" si="3890">IF(AO250=0,0,AN249+1)</f>
        <v>111</v>
      </c>
      <c r="AP249" s="196">
        <f t="shared" ref="AP249" si="3891">IF(AP250=0,0,AO249+1)</f>
        <v>112</v>
      </c>
      <c r="AQ249" s="196">
        <f t="shared" ref="AQ249" si="3892">IF(AQ250=0,0,AP249+1)</f>
        <v>113</v>
      </c>
      <c r="AR249" s="196">
        <f t="shared" ref="AR249" si="3893">IF(AR250=0,0,AQ249+1)</f>
        <v>114</v>
      </c>
      <c r="AS249" s="196">
        <f t="shared" ref="AS249" si="3894">IF(AS250=0,0,AR249+1)</f>
        <v>115</v>
      </c>
      <c r="AT249" s="196">
        <f t="shared" ref="AT249" si="3895">IF(AT250=0,0,AS249+1)</f>
        <v>116</v>
      </c>
      <c r="AU249" s="196">
        <f t="shared" ref="AU249" si="3896">IF(AU250=0,0,AT249+1)</f>
        <v>117</v>
      </c>
      <c r="AV249" s="196">
        <f t="shared" ref="AV249" si="3897">IF(AV250=0,0,AU249+1)</f>
        <v>118</v>
      </c>
      <c r="AW249" s="196">
        <f t="shared" ref="AW249" si="3898">IF(AW250=0,0,AV249+1)</f>
        <v>119</v>
      </c>
      <c r="AX249" s="196">
        <f t="shared" ref="AX249" si="3899">IF(AX250=0,0,AW249+1)</f>
        <v>0</v>
      </c>
      <c r="AY249" s="196">
        <f t="shared" ref="AY249" si="3900">IF(AY250=0,0,AX249+1)</f>
        <v>0</v>
      </c>
      <c r="AZ249" s="196">
        <f t="shared" ref="AZ249" si="3901">IF(AZ250=0,0,AY249+1)</f>
        <v>0</v>
      </c>
      <c r="BA249" s="196">
        <f t="shared" ref="BA249" si="3902">IF(BA250=0,0,AZ249+1)</f>
        <v>0</v>
      </c>
      <c r="BB249" s="196">
        <f t="shared" ref="BB249" si="3903">IF(BB250=0,0,BA249+1)</f>
        <v>0</v>
      </c>
      <c r="BC249" s="196">
        <f t="shared" ref="BC249" si="3904">IF(BC250=0,0,BB249+1)</f>
        <v>0</v>
      </c>
      <c r="BD249" s="196">
        <f t="shared" ref="BD249" si="3905">IF(BD250=0,0,BC249+1)</f>
        <v>0</v>
      </c>
      <c r="BE249" s="196">
        <f t="shared" ref="BE249" si="3906">IF(BE250=0,0,BD249+1)</f>
        <v>0</v>
      </c>
      <c r="BF249" s="196">
        <f t="shared" ref="BF249" si="3907">IF(BF250=0,0,BE249+1)</f>
        <v>0</v>
      </c>
      <c r="BG249" s="196">
        <f t="shared" ref="BG249" si="3908">IF(BG250=0,0,BF249+1)</f>
        <v>0</v>
      </c>
      <c r="BH249" s="196">
        <f t="shared" ref="BH249" si="3909">IF(BH250=0,0,BG249+1)</f>
        <v>0</v>
      </c>
      <c r="BI249" s="196">
        <f t="shared" ref="BI249" si="3910">IF(BI250=0,0,BH249+1)</f>
        <v>0</v>
      </c>
      <c r="BJ249" s="196">
        <f t="shared" ref="BJ249" si="3911">IF(BJ250=0,0,BI249+1)</f>
        <v>0</v>
      </c>
      <c r="BK249" s="196">
        <f t="shared" ref="BK249" si="3912">IF(BK250=0,0,BJ249+1)</f>
        <v>0</v>
      </c>
    </row>
    <row r="250" spans="1:63" ht="7.8" x14ac:dyDescent="0.15">
      <c r="A250" s="216" t="s">
        <v>178</v>
      </c>
      <c r="B250" s="192"/>
      <c r="C250" s="192"/>
      <c r="D250" s="192"/>
      <c r="E250" s="192"/>
      <c r="F250" s="192"/>
      <c r="G250" s="192"/>
      <c r="H250" s="192"/>
      <c r="I250" s="192"/>
      <c r="J250" s="192"/>
      <c r="K250" s="192"/>
      <c r="L250" s="192"/>
      <c r="M250" s="192"/>
      <c r="N250" s="192"/>
      <c r="O250" s="192"/>
      <c r="P250" s="192"/>
      <c r="Q250" s="192"/>
      <c r="R250" s="192"/>
      <c r="S250" s="192"/>
      <c r="T250" s="192"/>
      <c r="U250" s="192"/>
      <c r="V250" s="192"/>
      <c r="W250" s="192"/>
      <c r="X250" s="192"/>
      <c r="Y250" s="192"/>
      <c r="Z250" s="192"/>
      <c r="AA250" s="192"/>
      <c r="AB250" s="192"/>
      <c r="AC250" s="192"/>
      <c r="AD250" s="192"/>
      <c r="AE250" s="217">
        <f>LoanSize</f>
        <v>25</v>
      </c>
      <c r="AF250" s="215">
        <f>IF(AE250-AE253&lt;=0.1,0,AE250-AE253)</f>
        <v>23.79027212253634</v>
      </c>
      <c r="AG250" s="215">
        <f t="shared" ref="AG250:BK250" si="3913">IF(AF250-AF253&lt;=0.1,0,AF250-AF253)</f>
        <v>22.56189427362845</v>
      </c>
      <c r="AH250" s="215">
        <f t="shared" si="3913"/>
        <v>21.314578932883229</v>
      </c>
      <c r="AI250" s="215">
        <f t="shared" si="3913"/>
        <v>20.048034147301522</v>
      </c>
      <c r="AJ250" s="215">
        <f t="shared" si="3913"/>
        <v>18.761963462942095</v>
      </c>
      <c r="AK250" s="215">
        <f t="shared" si="3913"/>
        <v>17.456065855532128</v>
      </c>
      <c r="AL250" s="215">
        <f t="shared" si="3913"/>
        <v>16.130035660007923</v>
      </c>
      <c r="AM250" s="215">
        <f t="shared" si="3913"/>
        <v>14.783562498969387</v>
      </c>
      <c r="AN250" s="215">
        <f t="shared" si="3913"/>
        <v>13.416331210031506</v>
      </c>
      <c r="AO250" s="215">
        <f t="shared" si="3913"/>
        <v>12.028021772055833</v>
      </c>
      <c r="AP250" s="215">
        <f t="shared" si="3913"/>
        <v>10.618309230244702</v>
      </c>
      <c r="AQ250" s="215">
        <f t="shared" si="3913"/>
        <v>9.1868636200806488</v>
      </c>
      <c r="AR250" s="215">
        <f t="shared" si="3913"/>
        <v>7.7333498900932334</v>
      </c>
      <c r="AS250" s="215">
        <f t="shared" si="3913"/>
        <v>6.2574278234351794</v>
      </c>
      <c r="AT250" s="215">
        <f t="shared" si="3913"/>
        <v>4.7587519582494799</v>
      </c>
      <c r="AU250" s="215">
        <f t="shared" si="3913"/>
        <v>3.2369715068088345</v>
      </c>
      <c r="AV250" s="215">
        <f t="shared" si="3913"/>
        <v>1.6917302734084789</v>
      </c>
      <c r="AW250" s="215">
        <f t="shared" si="3913"/>
        <v>0.12266657099320111</v>
      </c>
      <c r="AX250" s="215">
        <f t="shared" si="3913"/>
        <v>0</v>
      </c>
      <c r="AY250" s="215">
        <f t="shared" si="3913"/>
        <v>0</v>
      </c>
      <c r="AZ250" s="215">
        <f t="shared" si="3913"/>
        <v>0</v>
      </c>
      <c r="BA250" s="215">
        <f t="shared" si="3913"/>
        <v>0</v>
      </c>
      <c r="BB250" s="215">
        <f t="shared" si="3913"/>
        <v>0</v>
      </c>
      <c r="BC250" s="215">
        <f t="shared" si="3913"/>
        <v>0</v>
      </c>
      <c r="BD250" s="215">
        <f t="shared" si="3913"/>
        <v>0</v>
      </c>
      <c r="BE250" s="215">
        <f t="shared" si="3913"/>
        <v>0</v>
      </c>
      <c r="BF250" s="215">
        <f t="shared" si="3913"/>
        <v>0</v>
      </c>
      <c r="BG250" s="215">
        <f t="shared" si="3913"/>
        <v>0</v>
      </c>
      <c r="BH250" s="215">
        <f t="shared" si="3913"/>
        <v>0</v>
      </c>
      <c r="BI250" s="215">
        <f t="shared" si="3913"/>
        <v>0</v>
      </c>
      <c r="BJ250" s="215">
        <f t="shared" si="3913"/>
        <v>0</v>
      </c>
      <c r="BK250" s="215">
        <f t="shared" si="3913"/>
        <v>0</v>
      </c>
    </row>
    <row r="251" spans="1:63" ht="7.8" x14ac:dyDescent="0.15">
      <c r="A251" s="218" t="s">
        <v>179</v>
      </c>
      <c r="B251" s="192"/>
      <c r="C251" s="192"/>
      <c r="D251" s="192"/>
      <c r="E251" s="192"/>
      <c r="F251" s="192"/>
      <c r="G251" s="192"/>
      <c r="H251" s="192"/>
      <c r="I251" s="192"/>
      <c r="J251" s="192"/>
      <c r="K251" s="192"/>
      <c r="L251" s="192"/>
      <c r="M251" s="192"/>
      <c r="N251" s="192"/>
      <c r="O251" s="192"/>
      <c r="P251" s="192"/>
      <c r="Q251" s="192"/>
      <c r="R251" s="192"/>
      <c r="S251" s="192"/>
      <c r="T251" s="192"/>
      <c r="U251" s="192"/>
      <c r="V251" s="192"/>
      <c r="W251" s="192"/>
      <c r="X251" s="192"/>
      <c r="Y251" s="192"/>
      <c r="Z251" s="192"/>
      <c r="AA251" s="192"/>
      <c r="AB251" s="192"/>
      <c r="AC251" s="192"/>
      <c r="AD251" s="192"/>
      <c r="AE251" s="219">
        <f>IF(AE250=0,0,PMT(INDEX(LoanCohortRate,1),LoanTerm, -LoanSize))</f>
        <v>1.5951445441303251</v>
      </c>
      <c r="AF251" s="222">
        <f t="shared" ref="AF251" si="3914">IF(AF250=0,0, AE251)</f>
        <v>1.5951445441303251</v>
      </c>
      <c r="AG251" s="222">
        <f t="shared" ref="AG251" si="3915">IF(AG250=0,0, AF251)</f>
        <v>1.5951445441303251</v>
      </c>
      <c r="AH251" s="222">
        <f t="shared" ref="AH251" si="3916">IF(AH250=0,0, AG251)</f>
        <v>1.5951445441303251</v>
      </c>
      <c r="AI251" s="222">
        <f t="shared" ref="AI251" si="3917">IF(AI250=0,0, AH251)</f>
        <v>1.5951445441303251</v>
      </c>
      <c r="AJ251" s="222">
        <f t="shared" ref="AJ251" si="3918">IF(AJ250=0,0, AI251)</f>
        <v>1.5951445441303251</v>
      </c>
      <c r="AK251" s="222">
        <f t="shared" ref="AK251" si="3919">IF(AK250=0,0, AJ251)</f>
        <v>1.5951445441303251</v>
      </c>
      <c r="AL251" s="222">
        <f t="shared" ref="AL251" si="3920">IF(AL250=0,0, AK251)</f>
        <v>1.5951445441303251</v>
      </c>
      <c r="AM251" s="222">
        <f t="shared" ref="AM251" si="3921">IF(AM250=0,0, AL251)</f>
        <v>1.5951445441303251</v>
      </c>
      <c r="AN251" s="222">
        <f t="shared" ref="AN251" si="3922">IF(AN250=0,0, AM251)</f>
        <v>1.5951445441303251</v>
      </c>
      <c r="AO251" s="222">
        <f t="shared" ref="AO251" si="3923">IF(AO250=0,0, AN251)</f>
        <v>1.5951445441303251</v>
      </c>
      <c r="AP251" s="222">
        <f t="shared" ref="AP251" si="3924">IF(AP250=0,0, AO251)</f>
        <v>1.5951445441303251</v>
      </c>
      <c r="AQ251" s="222">
        <f t="shared" ref="AQ251" si="3925">IF(AQ250=0,0, AP251)</f>
        <v>1.5951445441303251</v>
      </c>
      <c r="AR251" s="222">
        <f t="shared" ref="AR251" si="3926">IF(AR250=0,0, AQ251)</f>
        <v>1.5951445441303251</v>
      </c>
      <c r="AS251" s="222">
        <f t="shared" ref="AS251" si="3927">IF(AS250=0,0, AR251)</f>
        <v>1.5951445441303251</v>
      </c>
      <c r="AT251" s="222">
        <f t="shared" ref="AT251" si="3928">IF(AT250=0,0, AS251)</f>
        <v>1.5951445441303251</v>
      </c>
      <c r="AU251" s="222">
        <f t="shared" ref="AU251" si="3929">IF(AU250=0,0, AT251)</f>
        <v>1.5951445441303251</v>
      </c>
      <c r="AV251" s="222">
        <f t="shared" ref="AV251" si="3930">IF(AV250=0,0, AU251)</f>
        <v>1.5951445441303251</v>
      </c>
      <c r="AW251" s="222">
        <f t="shared" ref="AW251" si="3931">IF(AW250=0,0, AV251)</f>
        <v>1.5951445441303251</v>
      </c>
      <c r="AX251" s="222">
        <f t="shared" ref="AX251" si="3932">IF(AX250=0,0, AW251)</f>
        <v>0</v>
      </c>
      <c r="AY251" s="222">
        <f t="shared" ref="AY251" si="3933">IF(AY250=0,0, AX251)</f>
        <v>0</v>
      </c>
      <c r="AZ251" s="222">
        <f t="shared" ref="AZ251" si="3934">IF(AZ250=0,0, AY251)</f>
        <v>0</v>
      </c>
      <c r="BA251" s="222">
        <f t="shared" ref="BA251" si="3935">IF(BA250=0,0, AZ251)</f>
        <v>0</v>
      </c>
      <c r="BB251" s="222">
        <f t="shared" ref="BB251" si="3936">IF(BB250=0,0, BA251)</f>
        <v>0</v>
      </c>
      <c r="BC251" s="222">
        <f t="shared" ref="BC251" si="3937">IF(BC250=0,0, BB251)</f>
        <v>0</v>
      </c>
      <c r="BD251" s="222">
        <f t="shared" ref="BD251" si="3938">IF(BD250=0,0, BC251)</f>
        <v>0</v>
      </c>
      <c r="BE251" s="222">
        <f t="shared" ref="BE251" si="3939">IF(BE250=0,0, BD251)</f>
        <v>0</v>
      </c>
      <c r="BF251" s="222">
        <f t="shared" ref="BF251" si="3940">IF(BF250=0,0, BE251)</f>
        <v>0</v>
      </c>
      <c r="BG251" s="222">
        <f t="shared" ref="BG251" si="3941">IF(BG250=0,0, BF251)</f>
        <v>0</v>
      </c>
      <c r="BH251" s="222">
        <f t="shared" ref="BH251" si="3942">IF(BH250=0,0, BG251)</f>
        <v>0</v>
      </c>
      <c r="BI251" s="222">
        <f t="shared" ref="BI251" si="3943">IF(BI250=0,0, BH251)</f>
        <v>0</v>
      </c>
      <c r="BJ251" s="222">
        <f t="shared" ref="BJ251" si="3944">IF(BJ250=0,0, BI251)</f>
        <v>0</v>
      </c>
      <c r="BK251" s="222">
        <f t="shared" ref="BK251" si="3945">IF(BK250=0,0, BJ251)</f>
        <v>0</v>
      </c>
    </row>
    <row r="252" spans="1:63" ht="7.8" x14ac:dyDescent="0.15">
      <c r="A252" s="218" t="s">
        <v>180</v>
      </c>
      <c r="B252" s="192"/>
      <c r="C252" s="192"/>
      <c r="D252" s="192"/>
      <c r="E252" s="192"/>
      <c r="F252" s="192"/>
      <c r="G252" s="192"/>
      <c r="H252" s="192"/>
      <c r="I252" s="192"/>
      <c r="J252" s="192"/>
      <c r="K252" s="192"/>
      <c r="L252" s="192"/>
      <c r="M252" s="192"/>
      <c r="N252" s="192"/>
      <c r="O252" s="192"/>
      <c r="P252" s="192"/>
      <c r="Q252" s="192"/>
      <c r="R252" s="192"/>
      <c r="S252" s="192"/>
      <c r="T252" s="192"/>
      <c r="U252" s="192"/>
      <c r="V252" s="192"/>
      <c r="W252" s="192"/>
      <c r="X252" s="192"/>
      <c r="Y252" s="192"/>
      <c r="Z252" s="192"/>
      <c r="AA252" s="192"/>
      <c r="AB252" s="192"/>
      <c r="AC252" s="192"/>
      <c r="AD252" s="192"/>
      <c r="AE252" s="220" cm="1">
        <f t="array" ref="AE252">AE250*INDEX(LoanCohortRate,$A249)</f>
        <v>0.38541666666666669</v>
      </c>
      <c r="AF252" s="221" cm="1">
        <f t="array" ref="AF252">AF250*INDEX(LoanCohortRate,$A249)</f>
        <v>0.36676669522243527</v>
      </c>
      <c r="AG252" s="221" cm="1">
        <f t="array" ref="AG252">AG250*INDEX(LoanCohortRate,$A249)</f>
        <v>0.34782920338510526</v>
      </c>
      <c r="AH252" s="221" cm="1">
        <f t="array" ref="AH252">AH250*INDEX(LoanCohortRate,$A249)</f>
        <v>0.32859975854861645</v>
      </c>
      <c r="AI252" s="221" cm="1">
        <f t="array" ref="AI252">AI250*INDEX(LoanCohortRate,$A249)</f>
        <v>0.30907385977089846</v>
      </c>
      <c r="AJ252" s="221" cm="1">
        <f t="array" ref="AJ252">AJ250*INDEX(LoanCohortRate,$A249)</f>
        <v>0.28924693672035728</v>
      </c>
      <c r="AK252" s="221" cm="1">
        <f t="array" ref="AK252">AK250*INDEX(LoanCohortRate,$A249)</f>
        <v>0.26911434860612032</v>
      </c>
      <c r="AL252" s="221" cm="1">
        <f t="array" ref="AL252">AL250*INDEX(LoanCohortRate,$A249)</f>
        <v>0.24867138309178882</v>
      </c>
      <c r="AM252" s="221" cm="1">
        <f t="array" ref="AM252">AM250*INDEX(LoanCohortRate,$A249)</f>
        <v>0.22791325519244471</v>
      </c>
      <c r="AN252" s="221" cm="1">
        <f t="array" ref="AN252">AN250*INDEX(LoanCohortRate,$A249)</f>
        <v>0.20683510615465239</v>
      </c>
      <c r="AO252" s="221" cm="1">
        <f t="array" ref="AO252">AO250*INDEX(LoanCohortRate,$A249)</f>
        <v>0.1854320023191941</v>
      </c>
      <c r="AP252" s="221" cm="1">
        <f t="array" ref="AP252">AP250*INDEX(LoanCohortRate,$A249)</f>
        <v>0.1636989339662725</v>
      </c>
      <c r="AQ252" s="221" cm="1">
        <f t="array" ref="AQ252">AQ250*INDEX(LoanCohortRate,$A249)</f>
        <v>0.14163081414291001</v>
      </c>
      <c r="AR252" s="221" cm="1">
        <f t="array" ref="AR252">AR250*INDEX(LoanCohortRate,$A249)</f>
        <v>0.11922247747227069</v>
      </c>
      <c r="AS252" s="221" cm="1">
        <f t="array" ref="AS252">AS250*INDEX(LoanCohortRate,$A249)</f>
        <v>9.6468678944625685E-2</v>
      </c>
      <c r="AT252" s="221" cm="1">
        <f t="array" ref="AT252">AT250*INDEX(LoanCohortRate,$A249)</f>
        <v>7.3364092689679486E-2</v>
      </c>
      <c r="AU252" s="221" cm="1">
        <f t="array" ref="AU252">AU250*INDEX(LoanCohortRate,$A249)</f>
        <v>4.9903310729969536E-2</v>
      </c>
      <c r="AV252" s="221" cm="1">
        <f t="array" ref="AV252">AV250*INDEX(LoanCohortRate,$A249)</f>
        <v>2.6080841715047383E-2</v>
      </c>
      <c r="AW252" s="221" cm="1">
        <f t="array" ref="AW252">AW250*INDEX(LoanCohortRate,$A249)</f>
        <v>1.8911096361451838E-3</v>
      </c>
      <c r="AX252" s="221" cm="1">
        <f t="array" ref="AX252">AX250*INDEX(LoanCohortRate,$A249)</f>
        <v>0</v>
      </c>
      <c r="AY252" s="221" cm="1">
        <f t="array" ref="AY252">AY250*INDEX(LoanCohortRate,$A249)</f>
        <v>0</v>
      </c>
      <c r="AZ252" s="221" cm="1">
        <f t="array" ref="AZ252">AZ250*INDEX(LoanCohortRate,$A249)</f>
        <v>0</v>
      </c>
      <c r="BA252" s="221" cm="1">
        <f t="array" ref="BA252">BA250*INDEX(LoanCohortRate,$A249)</f>
        <v>0</v>
      </c>
      <c r="BB252" s="221" cm="1">
        <f t="array" ref="BB252">BB250*INDEX(LoanCohortRate,$A249)</f>
        <v>0</v>
      </c>
      <c r="BC252" s="221" cm="1">
        <f t="array" ref="BC252">BC250*INDEX(LoanCohortRate,$A249)</f>
        <v>0</v>
      </c>
      <c r="BD252" s="221" cm="1">
        <f t="array" ref="BD252">BD250*INDEX(LoanCohortRate,$A249)</f>
        <v>0</v>
      </c>
      <c r="BE252" s="221" cm="1">
        <f t="array" ref="BE252">BE250*INDEX(LoanCohortRate,$A249)</f>
        <v>0</v>
      </c>
      <c r="BF252" s="221" cm="1">
        <f t="array" ref="BF252">BF250*INDEX(LoanCohortRate,$A249)</f>
        <v>0</v>
      </c>
      <c r="BG252" s="221" cm="1">
        <f t="array" ref="BG252">BG250*INDEX(LoanCohortRate,$A249)</f>
        <v>0</v>
      </c>
      <c r="BH252" s="221" cm="1">
        <f t="array" ref="BH252">BH250*INDEX(LoanCohortRate,$A249)</f>
        <v>0</v>
      </c>
      <c r="BI252" s="221" cm="1">
        <f t="array" ref="BI252">BI250*INDEX(LoanCohortRate,$A249)</f>
        <v>0</v>
      </c>
      <c r="BJ252" s="221" cm="1">
        <f t="array" ref="BJ252">BJ250*INDEX(LoanCohortRate,$A249)</f>
        <v>0</v>
      </c>
      <c r="BK252" s="221" cm="1">
        <f t="array" ref="BK252">BK250*INDEX(LoanCohortRate,$A249)</f>
        <v>0</v>
      </c>
    </row>
    <row r="253" spans="1:63" ht="7.8" x14ac:dyDescent="0.15">
      <c r="A253" s="218" t="s">
        <v>177</v>
      </c>
      <c r="B253" s="192"/>
      <c r="C253" s="192"/>
      <c r="D253" s="192"/>
      <c r="E253" s="192"/>
      <c r="F253" s="192"/>
      <c r="G253" s="192"/>
      <c r="H253" s="192"/>
      <c r="I253" s="192"/>
      <c r="J253" s="192"/>
      <c r="K253" s="192"/>
      <c r="L253" s="192"/>
      <c r="M253" s="192"/>
      <c r="N253" s="192"/>
      <c r="O253" s="192"/>
      <c r="P253" s="192"/>
      <c r="Q253" s="192"/>
      <c r="R253" s="192"/>
      <c r="S253" s="192"/>
      <c r="T253" s="192"/>
      <c r="U253" s="192"/>
      <c r="V253" s="192"/>
      <c r="W253" s="192"/>
      <c r="X253" s="192"/>
      <c r="Y253" s="192"/>
      <c r="Z253" s="192"/>
      <c r="AA253" s="192"/>
      <c r="AB253" s="192"/>
      <c r="AC253" s="192"/>
      <c r="AD253" s="192"/>
      <c r="AE253" s="219">
        <f>AE251-AE252</f>
        <v>1.2097278774636584</v>
      </c>
      <c r="AF253" s="222">
        <f t="shared" ref="AF253:BK253" si="3946">AF251-AF252</f>
        <v>1.2283778489078898</v>
      </c>
      <c r="AG253" s="222">
        <f t="shared" si="3946"/>
        <v>1.24731534074522</v>
      </c>
      <c r="AH253" s="222">
        <f t="shared" si="3946"/>
        <v>1.2665447855817087</v>
      </c>
      <c r="AI253" s="222">
        <f t="shared" si="3946"/>
        <v>1.2860706843594267</v>
      </c>
      <c r="AJ253" s="222">
        <f t="shared" si="3946"/>
        <v>1.305897607409968</v>
      </c>
      <c r="AK253" s="222">
        <f t="shared" si="3946"/>
        <v>1.3260301955242049</v>
      </c>
      <c r="AL253" s="222">
        <f t="shared" si="3946"/>
        <v>1.3464731610385363</v>
      </c>
      <c r="AM253" s="222">
        <f t="shared" si="3946"/>
        <v>1.3672312889378804</v>
      </c>
      <c r="AN253" s="222">
        <f t="shared" si="3946"/>
        <v>1.3883094379756726</v>
      </c>
      <c r="AO253" s="222">
        <f t="shared" si="3946"/>
        <v>1.4097125418111309</v>
      </c>
      <c r="AP253" s="222">
        <f t="shared" si="3946"/>
        <v>1.4314456101640527</v>
      </c>
      <c r="AQ253" s="222">
        <f t="shared" si="3946"/>
        <v>1.453513729987415</v>
      </c>
      <c r="AR253" s="222">
        <f t="shared" si="3946"/>
        <v>1.4759220666580544</v>
      </c>
      <c r="AS253" s="222">
        <f t="shared" si="3946"/>
        <v>1.4986758651856995</v>
      </c>
      <c r="AT253" s="222">
        <f t="shared" si="3946"/>
        <v>1.5217804514406457</v>
      </c>
      <c r="AU253" s="222">
        <f t="shared" si="3946"/>
        <v>1.5452412334003556</v>
      </c>
      <c r="AV253" s="222">
        <f t="shared" si="3946"/>
        <v>1.5690637024152778</v>
      </c>
      <c r="AW253" s="222">
        <f t="shared" si="3946"/>
        <v>1.59325343449418</v>
      </c>
      <c r="AX253" s="222">
        <f t="shared" si="3946"/>
        <v>0</v>
      </c>
      <c r="AY253" s="222">
        <f t="shared" si="3946"/>
        <v>0</v>
      </c>
      <c r="AZ253" s="222">
        <f t="shared" si="3946"/>
        <v>0</v>
      </c>
      <c r="BA253" s="222">
        <f t="shared" si="3946"/>
        <v>0</v>
      </c>
      <c r="BB253" s="222">
        <f t="shared" si="3946"/>
        <v>0</v>
      </c>
      <c r="BC253" s="222">
        <f t="shared" si="3946"/>
        <v>0</v>
      </c>
      <c r="BD253" s="222">
        <f t="shared" si="3946"/>
        <v>0</v>
      </c>
      <c r="BE253" s="222">
        <f t="shared" si="3946"/>
        <v>0</v>
      </c>
      <c r="BF253" s="222">
        <f t="shared" si="3946"/>
        <v>0</v>
      </c>
      <c r="BG253" s="222">
        <f t="shared" si="3946"/>
        <v>0</v>
      </c>
      <c r="BH253" s="222">
        <f t="shared" si="3946"/>
        <v>0</v>
      </c>
      <c r="BI253" s="222">
        <f t="shared" si="3946"/>
        <v>0</v>
      </c>
      <c r="BJ253" s="222">
        <f t="shared" si="3946"/>
        <v>0</v>
      </c>
      <c r="BK253" s="222">
        <f t="shared" si="3946"/>
        <v>0</v>
      </c>
    </row>
    <row r="254" spans="1:63" ht="7.8" x14ac:dyDescent="0.15">
      <c r="A254" s="205" t="s">
        <v>7</v>
      </c>
      <c r="B254" s="192"/>
      <c r="C254" s="192"/>
      <c r="D254" s="192"/>
      <c r="E254" s="192"/>
      <c r="F254" s="192"/>
      <c r="G254" s="192"/>
      <c r="H254" s="192"/>
      <c r="I254" s="192"/>
      <c r="J254" s="192"/>
      <c r="K254" s="192"/>
      <c r="L254" s="192"/>
      <c r="M254" s="192"/>
      <c r="N254" s="192"/>
      <c r="O254" s="192"/>
      <c r="P254" s="192"/>
      <c r="Q254" s="192"/>
      <c r="R254" s="192"/>
      <c r="S254" s="192"/>
      <c r="T254" s="192"/>
      <c r="U254" s="192"/>
      <c r="V254" s="192"/>
      <c r="W254" s="192"/>
      <c r="X254" s="192"/>
      <c r="Y254" s="192"/>
      <c r="Z254" s="192"/>
      <c r="AA254" s="192"/>
      <c r="AB254" s="192"/>
      <c r="AC254" s="192"/>
      <c r="AD254" s="192"/>
      <c r="AE254" s="214" cm="1">
        <f t="array" ref="AE254">INDEX(LoanOriginations,$A249)</f>
        <v>114.41518507266564</v>
      </c>
      <c r="AF254" s="199">
        <f t="shared" ref="AF254:BK254" si="3947">AE254*(1-MitigateDelinquency*MitigateChargeoff)  *  IF(AF249=0,0,IF(AF249-102=LoanSaleHeld,0.6,1))</f>
        <v>114.30076988759298</v>
      </c>
      <c r="AG254" s="199">
        <f t="shared" si="3947"/>
        <v>114.18646911770539</v>
      </c>
      <c r="AH254" s="199">
        <f t="shared" si="3947"/>
        <v>114.07228264858767</v>
      </c>
      <c r="AI254" s="199">
        <f t="shared" si="3947"/>
        <v>68.374926219563449</v>
      </c>
      <c r="AJ254" s="199">
        <f t="shared" si="3947"/>
        <v>68.306551293343887</v>
      </c>
      <c r="AK254" s="199">
        <f t="shared" si="3947"/>
        <v>68.23824474205054</v>
      </c>
      <c r="AL254" s="199">
        <f t="shared" si="3947"/>
        <v>68.170006497308492</v>
      </c>
      <c r="AM254" s="199">
        <f t="shared" si="3947"/>
        <v>68.101836490811181</v>
      </c>
      <c r="AN254" s="199">
        <f t="shared" si="3947"/>
        <v>68.033734654320369</v>
      </c>
      <c r="AO254" s="199">
        <f t="shared" si="3947"/>
        <v>67.965700919666048</v>
      </c>
      <c r="AP254" s="199">
        <f t="shared" si="3947"/>
        <v>67.897735218746377</v>
      </c>
      <c r="AQ254" s="199">
        <f t="shared" si="3947"/>
        <v>67.829837483527626</v>
      </c>
      <c r="AR254" s="199">
        <f t="shared" si="3947"/>
        <v>67.762007646044097</v>
      </c>
      <c r="AS254" s="199">
        <f t="shared" si="3947"/>
        <v>67.694245638398058</v>
      </c>
      <c r="AT254" s="199">
        <f t="shared" si="3947"/>
        <v>67.626551392759666</v>
      </c>
      <c r="AU254" s="199">
        <f t="shared" si="3947"/>
        <v>67.558924841366903</v>
      </c>
      <c r="AV254" s="199">
        <f t="shared" si="3947"/>
        <v>67.491365916525538</v>
      </c>
      <c r="AW254" s="199">
        <f t="shared" si="3947"/>
        <v>67.423874550609014</v>
      </c>
      <c r="AX254" s="199">
        <f t="shared" si="3947"/>
        <v>0</v>
      </c>
      <c r="AY254" s="199">
        <f t="shared" si="3947"/>
        <v>0</v>
      </c>
      <c r="AZ254" s="199">
        <f t="shared" si="3947"/>
        <v>0</v>
      </c>
      <c r="BA254" s="199">
        <f t="shared" si="3947"/>
        <v>0</v>
      </c>
      <c r="BB254" s="199">
        <f t="shared" si="3947"/>
        <v>0</v>
      </c>
      <c r="BC254" s="199">
        <f t="shared" si="3947"/>
        <v>0</v>
      </c>
      <c r="BD254" s="199">
        <f t="shared" si="3947"/>
        <v>0</v>
      </c>
      <c r="BE254" s="199">
        <f t="shared" si="3947"/>
        <v>0</v>
      </c>
      <c r="BF254" s="199">
        <f t="shared" si="3947"/>
        <v>0</v>
      </c>
      <c r="BG254" s="199">
        <f t="shared" si="3947"/>
        <v>0</v>
      </c>
      <c r="BH254" s="199">
        <f t="shared" si="3947"/>
        <v>0</v>
      </c>
      <c r="BI254" s="199">
        <f t="shared" si="3947"/>
        <v>0</v>
      </c>
      <c r="BJ254" s="199">
        <f t="shared" si="3947"/>
        <v>0</v>
      </c>
      <c r="BK254" s="199">
        <f t="shared" si="3947"/>
        <v>0</v>
      </c>
    </row>
    <row r="255" spans="1:63" ht="7.8" x14ac:dyDescent="0.15">
      <c r="A255" s="207" t="s">
        <v>96</v>
      </c>
      <c r="B255" s="192"/>
      <c r="C255" s="192"/>
      <c r="D255" s="192"/>
      <c r="E255" s="192"/>
      <c r="F255" s="192"/>
      <c r="G255" s="192"/>
      <c r="H255" s="192"/>
      <c r="I255" s="192"/>
      <c r="J255" s="192"/>
      <c r="K255" s="192"/>
      <c r="L255" s="192"/>
      <c r="M255" s="192"/>
      <c r="N255" s="192"/>
      <c r="O255" s="192"/>
      <c r="P255" s="192"/>
      <c r="Q255" s="192"/>
      <c r="R255" s="192"/>
      <c r="S255" s="192"/>
      <c r="T255" s="192"/>
      <c r="U255" s="192"/>
      <c r="V255" s="192"/>
      <c r="W255" s="192"/>
      <c r="X255" s="192"/>
      <c r="Y255" s="192"/>
      <c r="Z255" s="192"/>
      <c r="AA255" s="192"/>
      <c r="AB255" s="192"/>
      <c r="AC255" s="192"/>
      <c r="AD255" s="192"/>
      <c r="AE255" s="223">
        <f>AE252*AE254</f>
        <v>44.097519246756548</v>
      </c>
      <c r="AF255" s="200">
        <f t="shared" ref="AF255" si="3948">AF252*AF254</f>
        <v>41.921715633052521</v>
      </c>
      <c r="AG255" s="200">
        <f t="shared" ref="AG255" si="3949">AG252*AG254</f>
        <v>39.717388590569385</v>
      </c>
      <c r="AH255" s="200">
        <f t="shared" ref="AH255" si="3950">AH252*AH254</f>
        <v>37.48412453541544</v>
      </c>
      <c r="AI255" s="200">
        <f t="shared" ref="AI255" si="3951">AI252*AI254</f>
        <v>21.132902358230883</v>
      </c>
      <c r="AJ255" s="200">
        <f t="shared" ref="AJ255" si="3952">AJ252*AJ254</f>
        <v>19.757460719531679</v>
      </c>
      <c r="AK255" s="200">
        <f t="shared" ref="AK255" si="3953">AK252*AK254</f>
        <v>18.363890783781947</v>
      </c>
      <c r="AL255" s="200">
        <f t="shared" ref="AL255" si="3954">AL252*AL254</f>
        <v>16.951929801061933</v>
      </c>
      <c r="AM255" s="200">
        <f t="shared" ref="AM255" si="3955">AM252*AM254</f>
        <v>15.521311239204392</v>
      </c>
      <c r="AN255" s="200">
        <f t="shared" ref="AN255" si="3956">AN252*AN254</f>
        <v>14.071764729323807</v>
      </c>
      <c r="AO255" s="200">
        <f t="shared" ref="AO255" si="3957">AO252*AO254</f>
        <v>12.603016010561166</v>
      </c>
      <c r="AP255" s="200">
        <f t="shared" ref="AP255" si="3958">AP252*AP254</f>
        <v>11.114786874033017</v>
      </c>
      <c r="AQ255" s="200">
        <f t="shared" ref="AQ255" si="3959">AQ252*AQ254</f>
        <v>9.6067951059732923</v>
      </c>
      <c r="AR255" s="200">
        <f t="shared" ref="AR255" si="3960">AR252*AR254</f>
        <v>8.0787544300563265</v>
      </c>
      <c r="AS255" s="200">
        <f t="shared" ref="AS255" si="3961">AS252*AS254</f>
        <v>6.5303744488892503</v>
      </c>
      <c r="AT255" s="200">
        <f t="shared" ref="AT255" si="3962">AT252*AT254</f>
        <v>4.9613605846617936</v>
      </c>
      <c r="AU255" s="200">
        <f t="shared" ref="AU255" si="3963">AU252*AU254</f>
        <v>3.3714140189413904</v>
      </c>
      <c r="AV255" s="200">
        <f t="shared" ref="AV255" si="3964">AV252*AV254</f>
        <v>1.7602316316012463</v>
      </c>
      <c r="AW255" s="200">
        <f t="shared" ref="AW255" si="3965">AW252*AW254</f>
        <v>0.12750593886890074</v>
      </c>
      <c r="AX255" s="200">
        <f t="shared" ref="AX255" si="3966">AX252*AX254</f>
        <v>0</v>
      </c>
      <c r="AY255" s="200">
        <f t="shared" ref="AY255" si="3967">AY252*AY254</f>
        <v>0</v>
      </c>
      <c r="AZ255" s="200">
        <f t="shared" ref="AZ255" si="3968">AZ252*AZ254</f>
        <v>0</v>
      </c>
      <c r="BA255" s="200">
        <f t="shared" ref="BA255" si="3969">BA252*BA254</f>
        <v>0</v>
      </c>
      <c r="BB255" s="200">
        <f t="shared" ref="BB255" si="3970">BB252*BB254</f>
        <v>0</v>
      </c>
      <c r="BC255" s="200">
        <f t="shared" ref="BC255" si="3971">BC252*BC254</f>
        <v>0</v>
      </c>
      <c r="BD255" s="200">
        <f t="shared" ref="BD255" si="3972">BD252*BD254</f>
        <v>0</v>
      </c>
      <c r="BE255" s="200">
        <f t="shared" ref="BE255" si="3973">BE252*BE254</f>
        <v>0</v>
      </c>
      <c r="BF255" s="200">
        <f t="shared" ref="BF255" si="3974">BF252*BF254</f>
        <v>0</v>
      </c>
      <c r="BG255" s="200">
        <f t="shared" ref="BG255" si="3975">BG252*BG254</f>
        <v>0</v>
      </c>
      <c r="BH255" s="200">
        <f t="shared" ref="BH255" si="3976">BH252*BH254</f>
        <v>0</v>
      </c>
      <c r="BI255" s="200">
        <f t="shared" ref="BI255" si="3977">BI252*BI254</f>
        <v>0</v>
      </c>
      <c r="BJ255" s="200">
        <f t="shared" ref="BJ255" si="3978">BJ252*BJ254</f>
        <v>0</v>
      </c>
      <c r="BK255" s="200">
        <f t="shared" ref="BK255" si="3979">BK252*BK254</f>
        <v>0</v>
      </c>
    </row>
    <row r="256" spans="1:63" ht="7.8" x14ac:dyDescent="0.15">
      <c r="A256" s="206" t="s">
        <v>97</v>
      </c>
      <c r="B256" s="192"/>
      <c r="C256" s="192"/>
      <c r="D256" s="192"/>
      <c r="E256" s="192"/>
      <c r="F256" s="192"/>
      <c r="G256" s="192"/>
      <c r="H256" s="192"/>
      <c r="I256" s="192"/>
      <c r="J256" s="192"/>
      <c r="K256" s="192"/>
      <c r="L256" s="192"/>
      <c r="M256" s="192"/>
      <c r="N256" s="192"/>
      <c r="O256" s="192"/>
      <c r="P256" s="192"/>
      <c r="Q256" s="192"/>
      <c r="R256" s="192"/>
      <c r="S256" s="192"/>
      <c r="T256" s="192"/>
      <c r="U256" s="192"/>
      <c r="V256" s="192"/>
      <c r="W256" s="192"/>
      <c r="X256" s="192"/>
      <c r="Y256" s="192"/>
      <c r="Z256" s="192"/>
      <c r="AA256" s="192"/>
      <c r="AB256" s="192"/>
      <c r="AC256" s="192"/>
      <c r="AD256" s="192"/>
      <c r="AE256" s="223">
        <f>AE253*AE254</f>
        <v>138.41123898756746</v>
      </c>
      <c r="AF256" s="200">
        <f>AF253*AF254</f>
        <v>140.40453384303717</v>
      </c>
      <c r="AG256" s="200">
        <f t="shared" ref="AG256:BK256" si="3980">AG253*AG254</f>
        <v>142.42653463604424</v>
      </c>
      <c r="AH256" s="200">
        <f t="shared" si="3980"/>
        <v>144.47765476797156</v>
      </c>
      <c r="AI256" s="200">
        <f t="shared" si="3980"/>
        <v>87.934988156219276</v>
      </c>
      <c r="AJ256" s="200">
        <f t="shared" si="3980"/>
        <v>89.201361904404038</v>
      </c>
      <c r="AK256" s="200">
        <f t="shared" si="3980"/>
        <v>90.485973017529815</v>
      </c>
      <c r="AL256" s="200">
        <f t="shared" si="3980"/>
        <v>91.789084136448523</v>
      </c>
      <c r="AM256" s="200">
        <f t="shared" si="3980"/>
        <v>93.110961684368547</v>
      </c>
      <c r="AN256" s="200">
        <f t="shared" si="3980"/>
        <v>94.451875921325552</v>
      </c>
      <c r="AO256" s="200">
        <f t="shared" si="3980"/>
        <v>95.812100999437547</v>
      </c>
      <c r="AP256" s="200">
        <f t="shared" si="3980"/>
        <v>97.191915018955697</v>
      </c>
      <c r="AQ256" s="200">
        <f t="shared" si="3980"/>
        <v>98.591600085122423</v>
      </c>
      <c r="AR256" s="200">
        <f t="shared" si="3980"/>
        <v>100.01144236584828</v>
      </c>
      <c r="AS256" s="200">
        <f t="shared" si="3980"/>
        <v>101.45173215021947</v>
      </c>
      <c r="AT256" s="200">
        <f t="shared" si="3980"/>
        <v>102.91276390784783</v>
      </c>
      <c r="AU256" s="200">
        <f t="shared" si="3980"/>
        <v>104.39483634907572</v>
      </c>
      <c r="AV256" s="200">
        <f t="shared" si="3980"/>
        <v>105.89825248604785</v>
      </c>
      <c r="AW256" s="200">
        <f t="shared" si="3980"/>
        <v>107.42331969466255</v>
      </c>
      <c r="AX256" s="200">
        <f t="shared" si="3980"/>
        <v>0</v>
      </c>
      <c r="AY256" s="200">
        <f t="shared" si="3980"/>
        <v>0</v>
      </c>
      <c r="AZ256" s="200">
        <f t="shared" si="3980"/>
        <v>0</v>
      </c>
      <c r="BA256" s="200">
        <f t="shared" si="3980"/>
        <v>0</v>
      </c>
      <c r="BB256" s="200">
        <f t="shared" si="3980"/>
        <v>0</v>
      </c>
      <c r="BC256" s="200">
        <f t="shared" si="3980"/>
        <v>0</v>
      </c>
      <c r="BD256" s="200">
        <f t="shared" si="3980"/>
        <v>0</v>
      </c>
      <c r="BE256" s="200">
        <f t="shared" si="3980"/>
        <v>0</v>
      </c>
      <c r="BF256" s="200">
        <f t="shared" si="3980"/>
        <v>0</v>
      </c>
      <c r="BG256" s="200">
        <f t="shared" si="3980"/>
        <v>0</v>
      </c>
      <c r="BH256" s="200">
        <f t="shared" si="3980"/>
        <v>0</v>
      </c>
      <c r="BI256" s="200">
        <f t="shared" si="3980"/>
        <v>0</v>
      </c>
      <c r="BJ256" s="200">
        <f t="shared" si="3980"/>
        <v>0</v>
      </c>
      <c r="BK256" s="200">
        <f t="shared" si="3980"/>
        <v>0</v>
      </c>
    </row>
    <row r="257" spans="1:63" ht="7.8" x14ac:dyDescent="0.15">
      <c r="A257" s="208" t="s">
        <v>203</v>
      </c>
      <c r="B257" s="192"/>
      <c r="C257" s="192"/>
      <c r="D257" s="192"/>
      <c r="E257" s="192"/>
      <c r="F257" s="192"/>
      <c r="G257" s="192"/>
      <c r="H257" s="192"/>
      <c r="I257" s="192"/>
      <c r="J257" s="192"/>
      <c r="K257" s="192"/>
      <c r="L257" s="192"/>
      <c r="M257" s="192"/>
      <c r="N257" s="192"/>
      <c r="O257" s="192"/>
      <c r="P257" s="192"/>
      <c r="Q257" s="192"/>
      <c r="R257" s="192"/>
      <c r="S257" s="192"/>
      <c r="T257" s="192"/>
      <c r="U257" s="192"/>
      <c r="V257" s="192"/>
      <c r="W257" s="192"/>
      <c r="X257" s="192"/>
      <c r="Y257" s="192"/>
      <c r="Z257" s="192"/>
      <c r="AA257" s="192"/>
      <c r="AB257" s="192"/>
      <c r="AC257" s="192"/>
      <c r="AD257" s="192"/>
      <c r="AE257" s="224">
        <f>IF(AE249-101&lt;&gt;LoanSaleHeld,0,SUM($D256:AE256)*LoanSalePercent)</f>
        <v>0</v>
      </c>
      <c r="AF257" s="225">
        <f>IF(AF249-101&lt;&gt;LoanSaleHeld,0,SUM($D256:AF256)*LoanSalePercent)</f>
        <v>0</v>
      </c>
      <c r="AG257" s="225">
        <f>IF(AG249-101&lt;&gt;LoanSaleHeld,0,SUM($D256:AG256)*LoanSalePercent)</f>
        <v>0</v>
      </c>
      <c r="AH257" s="225">
        <f>IF(AH249-101&lt;&gt;LoanSaleHeld,0,SUM($D256:AH256)*LoanSalePercent)</f>
        <v>226.28798489384818</v>
      </c>
      <c r="AI257" s="225">
        <f>IF(AI249-101&lt;&gt;LoanSaleHeld,0,SUM($D256:AI256)*LoanSalePercent)</f>
        <v>0</v>
      </c>
      <c r="AJ257" s="225">
        <f>IF(AJ249-101&lt;&gt;LoanSaleHeld,0,SUM($D256:AJ256)*LoanSalePercent)</f>
        <v>0</v>
      </c>
      <c r="AK257" s="225">
        <f>IF(AK249-101&lt;&gt;LoanSaleHeld,0,SUM($D256:AK256)*LoanSalePercent)</f>
        <v>0</v>
      </c>
      <c r="AL257" s="225">
        <f>IF(AL249-101&lt;&gt;LoanSaleHeld,0,SUM($D256:AL256)*LoanSalePercent)</f>
        <v>0</v>
      </c>
      <c r="AM257" s="225">
        <f>IF(AM249-101&lt;&gt;LoanSaleHeld,0,SUM($D256:AM256)*LoanSalePercent)</f>
        <v>0</v>
      </c>
      <c r="AN257" s="225">
        <f>IF(AN249-101&lt;&gt;LoanSaleHeld,0,SUM($D256:AN256)*LoanSalePercent)</f>
        <v>0</v>
      </c>
      <c r="AO257" s="225">
        <f>IF(AO249-101&lt;&gt;LoanSaleHeld,0,SUM($D256:AO256)*LoanSalePercent)</f>
        <v>0</v>
      </c>
      <c r="AP257" s="225">
        <f>IF(AP249-101&lt;&gt;LoanSaleHeld,0,SUM($D256:AP256)*LoanSalePercent)</f>
        <v>0</v>
      </c>
      <c r="AQ257" s="225">
        <f>IF(AQ249-101&lt;&gt;LoanSaleHeld,0,SUM($D256:AQ256)*LoanSalePercent)</f>
        <v>0</v>
      </c>
      <c r="AR257" s="225">
        <f>IF(AR249-101&lt;&gt;LoanSaleHeld,0,SUM($D256:AR256)*LoanSalePercent)</f>
        <v>0</v>
      </c>
      <c r="AS257" s="225">
        <f>IF(AS249-101&lt;&gt;LoanSaleHeld,0,SUM($D256:AS256)*LoanSalePercent)</f>
        <v>0</v>
      </c>
      <c r="AT257" s="225">
        <f>IF(AT249-101&lt;&gt;LoanSaleHeld,0,SUM($D256:AT256)*LoanSalePercent)</f>
        <v>0</v>
      </c>
      <c r="AU257" s="225">
        <f>IF(AU249-101&lt;&gt;LoanSaleHeld,0,SUM($D256:AU256)*LoanSalePercent)</f>
        <v>0</v>
      </c>
      <c r="AV257" s="225">
        <f>IF(AV249-101&lt;&gt;LoanSaleHeld,0,SUM($D256:AV256)*LoanSalePercent)</f>
        <v>0</v>
      </c>
      <c r="AW257" s="225">
        <f>IF(AW249-101&lt;&gt;LoanSaleHeld,0,SUM($D256:AW256)*LoanSalePercent)</f>
        <v>0</v>
      </c>
      <c r="AX257" s="225">
        <f>IF(AX249-101&lt;&gt;LoanSaleHeld,0,SUM($D256:AX256)*LoanSalePercent)</f>
        <v>0</v>
      </c>
      <c r="AY257" s="225">
        <f>IF(AY249-101&lt;&gt;LoanSaleHeld,0,SUM($D256:AY256)*LoanSalePercent)</f>
        <v>0</v>
      </c>
      <c r="AZ257" s="225">
        <f>IF(AZ249-101&lt;&gt;LoanSaleHeld,0,SUM($D256:AZ256)*LoanSalePercent)</f>
        <v>0</v>
      </c>
      <c r="BA257" s="225">
        <f>IF(BA249-101&lt;&gt;LoanSaleHeld,0,SUM($D256:BA256)*LoanSalePercent)</f>
        <v>0</v>
      </c>
      <c r="BB257" s="225">
        <f>IF(BB249-101&lt;&gt;LoanSaleHeld,0,SUM($D256:BB256)*LoanSalePercent)</f>
        <v>0</v>
      </c>
      <c r="BC257" s="225">
        <f>IF(BC249-101&lt;&gt;LoanSaleHeld,0,SUM($D256:BC256)*LoanSalePercent)</f>
        <v>0</v>
      </c>
      <c r="BD257" s="225">
        <f>IF(BD249-101&lt;&gt;LoanSaleHeld,0,SUM($D256:BD256)*LoanSalePercent)</f>
        <v>0</v>
      </c>
      <c r="BE257" s="225">
        <f>IF(BE249-101&lt;&gt;LoanSaleHeld,0,SUM($D256:BE256)*LoanSalePercent)</f>
        <v>0</v>
      </c>
      <c r="BF257" s="225">
        <f>IF(BF249-101&lt;&gt;LoanSaleHeld,0,SUM($D256:BF256)*LoanSalePercent)</f>
        <v>0</v>
      </c>
      <c r="BG257" s="225">
        <f>IF(BG249-101&lt;&gt;LoanSaleHeld,0,SUM($D256:BG256)*LoanSalePercent)</f>
        <v>0</v>
      </c>
      <c r="BH257" s="225">
        <f>IF(BH249-101&lt;&gt;LoanSaleHeld,0,SUM($D256:BH256)*LoanSalePercent)</f>
        <v>0</v>
      </c>
      <c r="BI257" s="225">
        <f>IF(BI249-101&lt;&gt;LoanSaleHeld,0,SUM($D256:BI256)*LoanSalePercent)</f>
        <v>0</v>
      </c>
      <c r="BJ257" s="225">
        <f>IF(BJ249-101&lt;&gt;LoanSaleHeld,0,SUM($D256:BJ256)*LoanSalePercent)</f>
        <v>0</v>
      </c>
      <c r="BK257" s="225">
        <f>IF(BK249-101&lt;&gt;LoanSaleHeld,0,SUM($D256:BK256)*LoanSalePercent)</f>
        <v>0</v>
      </c>
    </row>
    <row r="258" spans="1:63" ht="7.8" x14ac:dyDescent="0.15">
      <c r="A258" s="204">
        <f t="shared" ref="A258" si="3981">A249+1</f>
        <v>29</v>
      </c>
      <c r="B258" s="192"/>
      <c r="C258" s="192"/>
      <c r="D258" s="192"/>
      <c r="E258" s="192"/>
      <c r="F258" s="192"/>
      <c r="G258" s="192"/>
      <c r="H258" s="192"/>
      <c r="I258" s="192"/>
      <c r="J258" s="192"/>
      <c r="K258" s="192"/>
      <c r="L258" s="192"/>
      <c r="M258" s="192"/>
      <c r="N258" s="192"/>
      <c r="O258" s="192"/>
      <c r="P258" s="192"/>
      <c r="Q258" s="192"/>
      <c r="R258" s="192"/>
      <c r="S258" s="192"/>
      <c r="T258" s="192"/>
      <c r="U258" s="192"/>
      <c r="V258" s="192"/>
      <c r="W258" s="192"/>
      <c r="X258" s="192"/>
      <c r="Y258" s="192"/>
      <c r="Z258" s="192"/>
      <c r="AA258" s="192"/>
      <c r="AB258" s="192"/>
      <c r="AC258" s="192"/>
      <c r="AD258" s="192"/>
      <c r="AE258" s="192"/>
      <c r="AF258" s="195">
        <v>101</v>
      </c>
      <c r="AG258" s="196">
        <f t="shared" ref="AG258" si="3982">IF(AG259=0,0,AF258+1)</f>
        <v>102</v>
      </c>
      <c r="AH258" s="196">
        <f t="shared" ref="AH258" si="3983">IF(AH259=0,0,AG258+1)</f>
        <v>103</v>
      </c>
      <c r="AI258" s="196">
        <f t="shared" ref="AI258" si="3984">IF(AI259=0,0,AH258+1)</f>
        <v>104</v>
      </c>
      <c r="AJ258" s="196">
        <f t="shared" ref="AJ258" si="3985">IF(AJ259=0,0,AI258+1)</f>
        <v>105</v>
      </c>
      <c r="AK258" s="196">
        <f t="shared" ref="AK258" si="3986">IF(AK259=0,0,AJ258+1)</f>
        <v>106</v>
      </c>
      <c r="AL258" s="196">
        <f t="shared" ref="AL258" si="3987">IF(AL259=0,0,AK258+1)</f>
        <v>107</v>
      </c>
      <c r="AM258" s="196">
        <f t="shared" ref="AM258" si="3988">IF(AM259=0,0,AL258+1)</f>
        <v>108</v>
      </c>
      <c r="AN258" s="196">
        <f t="shared" ref="AN258" si="3989">IF(AN259=0,0,AM258+1)</f>
        <v>109</v>
      </c>
      <c r="AO258" s="196">
        <f t="shared" ref="AO258" si="3990">IF(AO259=0,0,AN258+1)</f>
        <v>110</v>
      </c>
      <c r="AP258" s="196">
        <f t="shared" ref="AP258" si="3991">IF(AP259=0,0,AO258+1)</f>
        <v>111</v>
      </c>
      <c r="AQ258" s="196">
        <f t="shared" ref="AQ258" si="3992">IF(AQ259=0,0,AP258+1)</f>
        <v>112</v>
      </c>
      <c r="AR258" s="196">
        <f t="shared" ref="AR258" si="3993">IF(AR259=0,0,AQ258+1)</f>
        <v>113</v>
      </c>
      <c r="AS258" s="196">
        <f t="shared" ref="AS258" si="3994">IF(AS259=0,0,AR258+1)</f>
        <v>114</v>
      </c>
      <c r="AT258" s="196">
        <f t="shared" ref="AT258" si="3995">IF(AT259=0,0,AS258+1)</f>
        <v>115</v>
      </c>
      <c r="AU258" s="196">
        <f t="shared" ref="AU258" si="3996">IF(AU259=0,0,AT258+1)</f>
        <v>116</v>
      </c>
      <c r="AV258" s="196">
        <f t="shared" ref="AV258" si="3997">IF(AV259=0,0,AU258+1)</f>
        <v>117</v>
      </c>
      <c r="AW258" s="196">
        <f t="shared" ref="AW258" si="3998">IF(AW259=0,0,AV258+1)</f>
        <v>118</v>
      </c>
      <c r="AX258" s="196">
        <f t="shared" ref="AX258" si="3999">IF(AX259=0,0,AW258+1)</f>
        <v>119</v>
      </c>
      <c r="AY258" s="196">
        <f t="shared" ref="AY258" si="4000">IF(AY259=0,0,AX258+1)</f>
        <v>0</v>
      </c>
      <c r="AZ258" s="196">
        <f t="shared" ref="AZ258" si="4001">IF(AZ259=0,0,AY258+1)</f>
        <v>0</v>
      </c>
      <c r="BA258" s="196">
        <f t="shared" ref="BA258" si="4002">IF(BA259=0,0,AZ258+1)</f>
        <v>0</v>
      </c>
      <c r="BB258" s="196">
        <f t="shared" ref="BB258" si="4003">IF(BB259=0,0,BA258+1)</f>
        <v>0</v>
      </c>
      <c r="BC258" s="196">
        <f t="shared" ref="BC258" si="4004">IF(BC259=0,0,BB258+1)</f>
        <v>0</v>
      </c>
      <c r="BD258" s="196">
        <f t="shared" ref="BD258" si="4005">IF(BD259=0,0,BC258+1)</f>
        <v>0</v>
      </c>
      <c r="BE258" s="196">
        <f t="shared" ref="BE258" si="4006">IF(BE259=0,0,BD258+1)</f>
        <v>0</v>
      </c>
      <c r="BF258" s="196">
        <f t="shared" ref="BF258" si="4007">IF(BF259=0,0,BE258+1)</f>
        <v>0</v>
      </c>
      <c r="BG258" s="196">
        <f t="shared" ref="BG258" si="4008">IF(BG259=0,0,BF258+1)</f>
        <v>0</v>
      </c>
      <c r="BH258" s="196">
        <f t="shared" ref="BH258" si="4009">IF(BH259=0,0,BG258+1)</f>
        <v>0</v>
      </c>
      <c r="BI258" s="196">
        <f t="shared" ref="BI258" si="4010">IF(BI259=0,0,BH258+1)</f>
        <v>0</v>
      </c>
      <c r="BJ258" s="196">
        <f t="shared" ref="BJ258" si="4011">IF(BJ259=0,0,BI258+1)</f>
        <v>0</v>
      </c>
      <c r="BK258" s="196">
        <f t="shared" ref="BK258" si="4012">IF(BK259=0,0,BJ258+1)</f>
        <v>0</v>
      </c>
    </row>
    <row r="259" spans="1:63" ht="7.8" x14ac:dyDescent="0.15">
      <c r="A259" s="216" t="s">
        <v>178</v>
      </c>
      <c r="B259" s="192"/>
      <c r="C259" s="192"/>
      <c r="D259" s="192"/>
      <c r="E259" s="192"/>
      <c r="F259" s="192"/>
      <c r="G259" s="192"/>
      <c r="H259" s="192"/>
      <c r="I259" s="192"/>
      <c r="J259" s="192"/>
      <c r="K259" s="192"/>
      <c r="L259" s="192"/>
      <c r="M259" s="192"/>
      <c r="N259" s="192"/>
      <c r="O259" s="192"/>
      <c r="P259" s="192"/>
      <c r="Q259" s="192"/>
      <c r="R259" s="192"/>
      <c r="S259" s="192"/>
      <c r="T259" s="192"/>
      <c r="U259" s="192"/>
      <c r="V259" s="192"/>
      <c r="W259" s="192"/>
      <c r="X259" s="192"/>
      <c r="Y259" s="192"/>
      <c r="Z259" s="192"/>
      <c r="AA259" s="192"/>
      <c r="AB259" s="192"/>
      <c r="AC259" s="192"/>
      <c r="AD259" s="192"/>
      <c r="AE259" s="192"/>
      <c r="AF259" s="217">
        <f>LoanSize</f>
        <v>25</v>
      </c>
      <c r="AG259" s="215">
        <f>IF(AF259-AF262&lt;=0.1,0,AF259-AF262)</f>
        <v>23.79027212253634</v>
      </c>
      <c r="AH259" s="215">
        <f t="shared" ref="AH259:BK259" si="4013">IF(AG259-AG262&lt;=0.1,0,AG259-AG262)</f>
        <v>22.56189427362845</v>
      </c>
      <c r="AI259" s="215">
        <f t="shared" si="4013"/>
        <v>21.314578932883229</v>
      </c>
      <c r="AJ259" s="215">
        <f t="shared" si="4013"/>
        <v>20.048034147301522</v>
      </c>
      <c r="AK259" s="215">
        <f t="shared" si="4013"/>
        <v>18.761963462942095</v>
      </c>
      <c r="AL259" s="215">
        <f t="shared" si="4013"/>
        <v>17.456065855532128</v>
      </c>
      <c r="AM259" s="215">
        <f t="shared" si="4013"/>
        <v>16.130035660007923</v>
      </c>
      <c r="AN259" s="215">
        <f t="shared" si="4013"/>
        <v>14.783562498969387</v>
      </c>
      <c r="AO259" s="215">
        <f t="shared" si="4013"/>
        <v>13.416331210031506</v>
      </c>
      <c r="AP259" s="215">
        <f t="shared" si="4013"/>
        <v>12.028021772055833</v>
      </c>
      <c r="AQ259" s="215">
        <f t="shared" si="4013"/>
        <v>10.618309230244702</v>
      </c>
      <c r="AR259" s="215">
        <f t="shared" si="4013"/>
        <v>9.1868636200806488</v>
      </c>
      <c r="AS259" s="215">
        <f t="shared" si="4013"/>
        <v>7.7333498900932334</v>
      </c>
      <c r="AT259" s="215">
        <f t="shared" si="4013"/>
        <v>6.2574278234351794</v>
      </c>
      <c r="AU259" s="215">
        <f t="shared" si="4013"/>
        <v>4.7587519582494799</v>
      </c>
      <c r="AV259" s="215">
        <f t="shared" si="4013"/>
        <v>3.2369715068088345</v>
      </c>
      <c r="AW259" s="215">
        <f t="shared" si="4013"/>
        <v>1.6917302734084789</v>
      </c>
      <c r="AX259" s="215">
        <f t="shared" si="4013"/>
        <v>0.12266657099320111</v>
      </c>
      <c r="AY259" s="215">
        <f t="shared" si="4013"/>
        <v>0</v>
      </c>
      <c r="AZ259" s="215">
        <f t="shared" si="4013"/>
        <v>0</v>
      </c>
      <c r="BA259" s="215">
        <f t="shared" si="4013"/>
        <v>0</v>
      </c>
      <c r="BB259" s="215">
        <f t="shared" si="4013"/>
        <v>0</v>
      </c>
      <c r="BC259" s="215">
        <f t="shared" si="4013"/>
        <v>0</v>
      </c>
      <c r="BD259" s="215">
        <f t="shared" si="4013"/>
        <v>0</v>
      </c>
      <c r="BE259" s="215">
        <f t="shared" si="4013"/>
        <v>0</v>
      </c>
      <c r="BF259" s="215">
        <f t="shared" si="4013"/>
        <v>0</v>
      </c>
      <c r="BG259" s="215">
        <f t="shared" si="4013"/>
        <v>0</v>
      </c>
      <c r="BH259" s="215">
        <f t="shared" si="4013"/>
        <v>0</v>
      </c>
      <c r="BI259" s="215">
        <f t="shared" si="4013"/>
        <v>0</v>
      </c>
      <c r="BJ259" s="215">
        <f t="shared" si="4013"/>
        <v>0</v>
      </c>
      <c r="BK259" s="215">
        <f t="shared" si="4013"/>
        <v>0</v>
      </c>
    </row>
    <row r="260" spans="1:63" ht="7.8" x14ac:dyDescent="0.15">
      <c r="A260" s="218" t="s">
        <v>179</v>
      </c>
      <c r="B260" s="192"/>
      <c r="C260" s="192"/>
      <c r="D260" s="192"/>
      <c r="E260" s="192"/>
      <c r="F260" s="192"/>
      <c r="G260" s="192"/>
      <c r="H260" s="192"/>
      <c r="I260" s="192"/>
      <c r="J260" s="192"/>
      <c r="K260" s="192"/>
      <c r="L260" s="192"/>
      <c r="M260" s="192"/>
      <c r="N260" s="192"/>
      <c r="O260" s="192"/>
      <c r="P260" s="192"/>
      <c r="Q260" s="192"/>
      <c r="R260" s="192"/>
      <c r="S260" s="192"/>
      <c r="T260" s="192"/>
      <c r="U260" s="192"/>
      <c r="V260" s="192"/>
      <c r="W260" s="192"/>
      <c r="X260" s="192"/>
      <c r="Y260" s="192"/>
      <c r="Z260" s="192"/>
      <c r="AA260" s="192"/>
      <c r="AB260" s="192"/>
      <c r="AC260" s="192"/>
      <c r="AD260" s="192"/>
      <c r="AE260" s="192"/>
      <c r="AF260" s="219">
        <f>IF(AF259=0,0,PMT(INDEX(LoanCohortRate,1),LoanTerm, -LoanSize))</f>
        <v>1.5951445441303251</v>
      </c>
      <c r="AG260" s="222">
        <f t="shared" ref="AG260" si="4014">IF(AG259=0,0, AF260)</f>
        <v>1.5951445441303251</v>
      </c>
      <c r="AH260" s="222">
        <f t="shared" ref="AH260" si="4015">IF(AH259=0,0, AG260)</f>
        <v>1.5951445441303251</v>
      </c>
      <c r="AI260" s="222">
        <f t="shared" ref="AI260" si="4016">IF(AI259=0,0, AH260)</f>
        <v>1.5951445441303251</v>
      </c>
      <c r="AJ260" s="222">
        <f t="shared" ref="AJ260" si="4017">IF(AJ259=0,0, AI260)</f>
        <v>1.5951445441303251</v>
      </c>
      <c r="AK260" s="222">
        <f t="shared" ref="AK260" si="4018">IF(AK259=0,0, AJ260)</f>
        <v>1.5951445441303251</v>
      </c>
      <c r="AL260" s="222">
        <f t="shared" ref="AL260" si="4019">IF(AL259=0,0, AK260)</f>
        <v>1.5951445441303251</v>
      </c>
      <c r="AM260" s="222">
        <f t="shared" ref="AM260" si="4020">IF(AM259=0,0, AL260)</f>
        <v>1.5951445441303251</v>
      </c>
      <c r="AN260" s="222">
        <f t="shared" ref="AN260" si="4021">IF(AN259=0,0, AM260)</f>
        <v>1.5951445441303251</v>
      </c>
      <c r="AO260" s="222">
        <f t="shared" ref="AO260" si="4022">IF(AO259=0,0, AN260)</f>
        <v>1.5951445441303251</v>
      </c>
      <c r="AP260" s="222">
        <f t="shared" ref="AP260" si="4023">IF(AP259=0,0, AO260)</f>
        <v>1.5951445441303251</v>
      </c>
      <c r="AQ260" s="222">
        <f t="shared" ref="AQ260" si="4024">IF(AQ259=0,0, AP260)</f>
        <v>1.5951445441303251</v>
      </c>
      <c r="AR260" s="222">
        <f t="shared" ref="AR260" si="4025">IF(AR259=0,0, AQ260)</f>
        <v>1.5951445441303251</v>
      </c>
      <c r="AS260" s="222">
        <f t="shared" ref="AS260" si="4026">IF(AS259=0,0, AR260)</f>
        <v>1.5951445441303251</v>
      </c>
      <c r="AT260" s="222">
        <f t="shared" ref="AT260" si="4027">IF(AT259=0,0, AS260)</f>
        <v>1.5951445441303251</v>
      </c>
      <c r="AU260" s="222">
        <f t="shared" ref="AU260" si="4028">IF(AU259=0,0, AT260)</f>
        <v>1.5951445441303251</v>
      </c>
      <c r="AV260" s="222">
        <f t="shared" ref="AV260" si="4029">IF(AV259=0,0, AU260)</f>
        <v>1.5951445441303251</v>
      </c>
      <c r="AW260" s="222">
        <f t="shared" ref="AW260" si="4030">IF(AW259=0,0, AV260)</f>
        <v>1.5951445441303251</v>
      </c>
      <c r="AX260" s="222">
        <f t="shared" ref="AX260" si="4031">IF(AX259=0,0, AW260)</f>
        <v>1.5951445441303251</v>
      </c>
      <c r="AY260" s="222">
        <f t="shared" ref="AY260" si="4032">IF(AY259=0,0, AX260)</f>
        <v>0</v>
      </c>
      <c r="AZ260" s="222">
        <f t="shared" ref="AZ260" si="4033">IF(AZ259=0,0, AY260)</f>
        <v>0</v>
      </c>
      <c r="BA260" s="222">
        <f t="shared" ref="BA260" si="4034">IF(BA259=0,0, AZ260)</f>
        <v>0</v>
      </c>
      <c r="BB260" s="222">
        <f t="shared" ref="BB260" si="4035">IF(BB259=0,0, BA260)</f>
        <v>0</v>
      </c>
      <c r="BC260" s="222">
        <f t="shared" ref="BC260" si="4036">IF(BC259=0,0, BB260)</f>
        <v>0</v>
      </c>
      <c r="BD260" s="222">
        <f t="shared" ref="BD260" si="4037">IF(BD259=0,0, BC260)</f>
        <v>0</v>
      </c>
      <c r="BE260" s="222">
        <f t="shared" ref="BE260" si="4038">IF(BE259=0,0, BD260)</f>
        <v>0</v>
      </c>
      <c r="BF260" s="222">
        <f t="shared" ref="BF260" si="4039">IF(BF259=0,0, BE260)</f>
        <v>0</v>
      </c>
      <c r="BG260" s="222">
        <f t="shared" ref="BG260" si="4040">IF(BG259=0,0, BF260)</f>
        <v>0</v>
      </c>
      <c r="BH260" s="222">
        <f t="shared" ref="BH260" si="4041">IF(BH259=0,0, BG260)</f>
        <v>0</v>
      </c>
      <c r="BI260" s="222">
        <f t="shared" ref="BI260" si="4042">IF(BI259=0,0, BH260)</f>
        <v>0</v>
      </c>
      <c r="BJ260" s="222">
        <f t="shared" ref="BJ260" si="4043">IF(BJ259=0,0, BI260)</f>
        <v>0</v>
      </c>
      <c r="BK260" s="222">
        <f t="shared" ref="BK260" si="4044">IF(BK259=0,0, BJ260)</f>
        <v>0</v>
      </c>
    </row>
    <row r="261" spans="1:63" ht="7.8" x14ac:dyDescent="0.15">
      <c r="A261" s="218" t="s">
        <v>180</v>
      </c>
      <c r="B261" s="192"/>
      <c r="C261" s="192"/>
      <c r="D261" s="192"/>
      <c r="E261" s="192"/>
      <c r="F261" s="192"/>
      <c r="G261" s="192"/>
      <c r="H261" s="192"/>
      <c r="I261" s="192"/>
      <c r="J261" s="192"/>
      <c r="K261" s="192"/>
      <c r="L261" s="192"/>
      <c r="M261" s="192"/>
      <c r="N261" s="192"/>
      <c r="O261" s="192"/>
      <c r="P261" s="192"/>
      <c r="Q261" s="192"/>
      <c r="R261" s="192"/>
      <c r="S261" s="192"/>
      <c r="T261" s="192"/>
      <c r="U261" s="192"/>
      <c r="V261" s="192"/>
      <c r="W261" s="192"/>
      <c r="X261" s="192"/>
      <c r="Y261" s="192"/>
      <c r="Z261" s="192"/>
      <c r="AA261" s="192"/>
      <c r="AB261" s="192"/>
      <c r="AC261" s="192"/>
      <c r="AD261" s="192"/>
      <c r="AE261" s="192"/>
      <c r="AF261" s="220" cm="1">
        <f t="array" ref="AF261">AF259*INDEX(LoanCohortRate,$A258)</f>
        <v>0.38541666666666669</v>
      </c>
      <c r="AG261" s="221" cm="1">
        <f t="array" ref="AG261">AG259*INDEX(LoanCohortRate,$A258)</f>
        <v>0.36676669522243527</v>
      </c>
      <c r="AH261" s="221" cm="1">
        <f t="array" ref="AH261">AH259*INDEX(LoanCohortRate,$A258)</f>
        <v>0.34782920338510526</v>
      </c>
      <c r="AI261" s="221" cm="1">
        <f t="array" ref="AI261">AI259*INDEX(LoanCohortRate,$A258)</f>
        <v>0.32859975854861645</v>
      </c>
      <c r="AJ261" s="221" cm="1">
        <f t="array" ref="AJ261">AJ259*INDEX(LoanCohortRate,$A258)</f>
        <v>0.30907385977089846</v>
      </c>
      <c r="AK261" s="221" cm="1">
        <f t="array" ref="AK261">AK259*INDEX(LoanCohortRate,$A258)</f>
        <v>0.28924693672035728</v>
      </c>
      <c r="AL261" s="221" cm="1">
        <f t="array" ref="AL261">AL259*INDEX(LoanCohortRate,$A258)</f>
        <v>0.26911434860612032</v>
      </c>
      <c r="AM261" s="221" cm="1">
        <f t="array" ref="AM261">AM259*INDEX(LoanCohortRate,$A258)</f>
        <v>0.24867138309178882</v>
      </c>
      <c r="AN261" s="221" cm="1">
        <f t="array" ref="AN261">AN259*INDEX(LoanCohortRate,$A258)</f>
        <v>0.22791325519244471</v>
      </c>
      <c r="AO261" s="221" cm="1">
        <f t="array" ref="AO261">AO259*INDEX(LoanCohortRate,$A258)</f>
        <v>0.20683510615465239</v>
      </c>
      <c r="AP261" s="221" cm="1">
        <f t="array" ref="AP261">AP259*INDEX(LoanCohortRate,$A258)</f>
        <v>0.1854320023191941</v>
      </c>
      <c r="AQ261" s="221" cm="1">
        <f t="array" ref="AQ261">AQ259*INDEX(LoanCohortRate,$A258)</f>
        <v>0.1636989339662725</v>
      </c>
      <c r="AR261" s="221" cm="1">
        <f t="array" ref="AR261">AR259*INDEX(LoanCohortRate,$A258)</f>
        <v>0.14163081414291001</v>
      </c>
      <c r="AS261" s="221" cm="1">
        <f t="array" ref="AS261">AS259*INDEX(LoanCohortRate,$A258)</f>
        <v>0.11922247747227069</v>
      </c>
      <c r="AT261" s="221" cm="1">
        <f t="array" ref="AT261">AT259*INDEX(LoanCohortRate,$A258)</f>
        <v>9.6468678944625685E-2</v>
      </c>
      <c r="AU261" s="221" cm="1">
        <f t="array" ref="AU261">AU259*INDEX(LoanCohortRate,$A258)</f>
        <v>7.3364092689679486E-2</v>
      </c>
      <c r="AV261" s="221" cm="1">
        <f t="array" ref="AV261">AV259*INDEX(LoanCohortRate,$A258)</f>
        <v>4.9903310729969536E-2</v>
      </c>
      <c r="AW261" s="221" cm="1">
        <f t="array" ref="AW261">AW259*INDEX(LoanCohortRate,$A258)</f>
        <v>2.6080841715047383E-2</v>
      </c>
      <c r="AX261" s="221" cm="1">
        <f t="array" ref="AX261">AX259*INDEX(LoanCohortRate,$A258)</f>
        <v>1.8911096361451838E-3</v>
      </c>
      <c r="AY261" s="221" cm="1">
        <f t="array" ref="AY261">AY259*INDEX(LoanCohortRate,$A258)</f>
        <v>0</v>
      </c>
      <c r="AZ261" s="221" cm="1">
        <f t="array" ref="AZ261">AZ259*INDEX(LoanCohortRate,$A258)</f>
        <v>0</v>
      </c>
      <c r="BA261" s="221" cm="1">
        <f t="array" ref="BA261">BA259*INDEX(LoanCohortRate,$A258)</f>
        <v>0</v>
      </c>
      <c r="BB261" s="221" cm="1">
        <f t="array" ref="BB261">BB259*INDEX(LoanCohortRate,$A258)</f>
        <v>0</v>
      </c>
      <c r="BC261" s="221" cm="1">
        <f t="array" ref="BC261">BC259*INDEX(LoanCohortRate,$A258)</f>
        <v>0</v>
      </c>
      <c r="BD261" s="221" cm="1">
        <f t="array" ref="BD261">BD259*INDEX(LoanCohortRate,$A258)</f>
        <v>0</v>
      </c>
      <c r="BE261" s="221" cm="1">
        <f t="array" ref="BE261">BE259*INDEX(LoanCohortRate,$A258)</f>
        <v>0</v>
      </c>
      <c r="BF261" s="221" cm="1">
        <f t="array" ref="BF261">BF259*INDEX(LoanCohortRate,$A258)</f>
        <v>0</v>
      </c>
      <c r="BG261" s="221" cm="1">
        <f t="array" ref="BG261">BG259*INDEX(LoanCohortRate,$A258)</f>
        <v>0</v>
      </c>
      <c r="BH261" s="221" cm="1">
        <f t="array" ref="BH261">BH259*INDEX(LoanCohortRate,$A258)</f>
        <v>0</v>
      </c>
      <c r="BI261" s="221" cm="1">
        <f t="array" ref="BI261">BI259*INDEX(LoanCohortRate,$A258)</f>
        <v>0</v>
      </c>
      <c r="BJ261" s="221" cm="1">
        <f t="array" ref="BJ261">BJ259*INDEX(LoanCohortRate,$A258)</f>
        <v>0</v>
      </c>
      <c r="BK261" s="221" cm="1">
        <f t="array" ref="BK261">BK259*INDEX(LoanCohortRate,$A258)</f>
        <v>0</v>
      </c>
    </row>
    <row r="262" spans="1:63" ht="7.8" x14ac:dyDescent="0.15">
      <c r="A262" s="218" t="s">
        <v>177</v>
      </c>
      <c r="B262" s="192"/>
      <c r="C262" s="192"/>
      <c r="D262" s="192"/>
      <c r="E262" s="192"/>
      <c r="F262" s="192"/>
      <c r="G262" s="192"/>
      <c r="H262" s="192"/>
      <c r="I262" s="192"/>
      <c r="J262" s="192"/>
      <c r="K262" s="192"/>
      <c r="L262" s="192"/>
      <c r="M262" s="192"/>
      <c r="N262" s="192"/>
      <c r="O262" s="192"/>
      <c r="P262" s="192"/>
      <c r="Q262" s="192"/>
      <c r="R262" s="192"/>
      <c r="S262" s="192"/>
      <c r="T262" s="192"/>
      <c r="U262" s="192"/>
      <c r="V262" s="192"/>
      <c r="W262" s="192"/>
      <c r="X262" s="192"/>
      <c r="Y262" s="192"/>
      <c r="Z262" s="192"/>
      <c r="AA262" s="192"/>
      <c r="AB262" s="192"/>
      <c r="AC262" s="192"/>
      <c r="AD262" s="192"/>
      <c r="AE262" s="192"/>
      <c r="AF262" s="219">
        <f>AF260-AF261</f>
        <v>1.2097278774636584</v>
      </c>
      <c r="AG262" s="222">
        <f t="shared" ref="AG262:BK262" si="4045">AG260-AG261</f>
        <v>1.2283778489078898</v>
      </c>
      <c r="AH262" s="222">
        <f t="shared" si="4045"/>
        <v>1.24731534074522</v>
      </c>
      <c r="AI262" s="222">
        <f t="shared" si="4045"/>
        <v>1.2665447855817087</v>
      </c>
      <c r="AJ262" s="222">
        <f t="shared" si="4045"/>
        <v>1.2860706843594267</v>
      </c>
      <c r="AK262" s="222">
        <f t="shared" si="4045"/>
        <v>1.305897607409968</v>
      </c>
      <c r="AL262" s="222">
        <f t="shared" si="4045"/>
        <v>1.3260301955242049</v>
      </c>
      <c r="AM262" s="222">
        <f t="shared" si="4045"/>
        <v>1.3464731610385363</v>
      </c>
      <c r="AN262" s="222">
        <f t="shared" si="4045"/>
        <v>1.3672312889378804</v>
      </c>
      <c r="AO262" s="222">
        <f t="shared" si="4045"/>
        <v>1.3883094379756726</v>
      </c>
      <c r="AP262" s="222">
        <f t="shared" si="4045"/>
        <v>1.4097125418111309</v>
      </c>
      <c r="AQ262" s="222">
        <f t="shared" si="4045"/>
        <v>1.4314456101640527</v>
      </c>
      <c r="AR262" s="222">
        <f t="shared" si="4045"/>
        <v>1.453513729987415</v>
      </c>
      <c r="AS262" s="222">
        <f t="shared" si="4045"/>
        <v>1.4759220666580544</v>
      </c>
      <c r="AT262" s="222">
        <f t="shared" si="4045"/>
        <v>1.4986758651856995</v>
      </c>
      <c r="AU262" s="222">
        <f t="shared" si="4045"/>
        <v>1.5217804514406457</v>
      </c>
      <c r="AV262" s="222">
        <f t="shared" si="4045"/>
        <v>1.5452412334003556</v>
      </c>
      <c r="AW262" s="222">
        <f t="shared" si="4045"/>
        <v>1.5690637024152778</v>
      </c>
      <c r="AX262" s="222">
        <f t="shared" si="4045"/>
        <v>1.59325343449418</v>
      </c>
      <c r="AY262" s="222">
        <f t="shared" si="4045"/>
        <v>0</v>
      </c>
      <c r="AZ262" s="222">
        <f t="shared" si="4045"/>
        <v>0</v>
      </c>
      <c r="BA262" s="222">
        <f t="shared" si="4045"/>
        <v>0</v>
      </c>
      <c r="BB262" s="222">
        <f t="shared" si="4045"/>
        <v>0</v>
      </c>
      <c r="BC262" s="222">
        <f t="shared" si="4045"/>
        <v>0</v>
      </c>
      <c r="BD262" s="222">
        <f t="shared" si="4045"/>
        <v>0</v>
      </c>
      <c r="BE262" s="222">
        <f t="shared" si="4045"/>
        <v>0</v>
      </c>
      <c r="BF262" s="222">
        <f t="shared" si="4045"/>
        <v>0</v>
      </c>
      <c r="BG262" s="222">
        <f t="shared" si="4045"/>
        <v>0</v>
      </c>
      <c r="BH262" s="222">
        <f t="shared" si="4045"/>
        <v>0</v>
      </c>
      <c r="BI262" s="222">
        <f t="shared" si="4045"/>
        <v>0</v>
      </c>
      <c r="BJ262" s="222">
        <f t="shared" si="4045"/>
        <v>0</v>
      </c>
      <c r="BK262" s="222">
        <f t="shared" si="4045"/>
        <v>0</v>
      </c>
    </row>
    <row r="263" spans="1:63" ht="7.8" x14ac:dyDescent="0.15">
      <c r="A263" s="205" t="s">
        <v>7</v>
      </c>
      <c r="B263" s="192"/>
      <c r="C263" s="192"/>
      <c r="D263" s="192"/>
      <c r="E263" s="192"/>
      <c r="F263" s="192"/>
      <c r="G263" s="192"/>
      <c r="H263" s="192"/>
      <c r="I263" s="192"/>
      <c r="J263" s="192"/>
      <c r="K263" s="192"/>
      <c r="L263" s="192"/>
      <c r="M263" s="192"/>
      <c r="N263" s="192"/>
      <c r="O263" s="192"/>
      <c r="P263" s="192"/>
      <c r="Q263" s="192"/>
      <c r="R263" s="192"/>
      <c r="S263" s="192"/>
      <c r="T263" s="192"/>
      <c r="U263" s="192"/>
      <c r="V263" s="192"/>
      <c r="W263" s="192"/>
      <c r="X263" s="192"/>
      <c r="Y263" s="192"/>
      <c r="Z263" s="192"/>
      <c r="AA263" s="192"/>
      <c r="AB263" s="192"/>
      <c r="AC263" s="192"/>
      <c r="AD263" s="192"/>
      <c r="AE263" s="192"/>
      <c r="AF263" s="214" cm="1">
        <f t="array" ref="AF263">INDEX(LoanOriginations,$A258)</f>
        <v>114.98726099802896</v>
      </c>
      <c r="AG263" s="199">
        <f t="shared" ref="AG263:BK263" si="4046">AF263*(1-MitigateDelinquency*MitigateChargeoff)  *  IF(AG258=0,0,IF(AG258-102=LoanSaleHeld,0.6,1))</f>
        <v>114.87227373703092</v>
      </c>
      <c r="AH263" s="199">
        <f t="shared" si="4046"/>
        <v>114.75740146329389</v>
      </c>
      <c r="AI263" s="199">
        <f t="shared" si="4046"/>
        <v>114.64264406183059</v>
      </c>
      <c r="AJ263" s="199">
        <f t="shared" si="4046"/>
        <v>68.716800850661258</v>
      </c>
      <c r="AK263" s="199">
        <f t="shared" si="4046"/>
        <v>68.648084049810592</v>
      </c>
      <c r="AL263" s="199">
        <f t="shared" si="4046"/>
        <v>68.57943596576078</v>
      </c>
      <c r="AM263" s="199">
        <f t="shared" si="4046"/>
        <v>68.510856529795021</v>
      </c>
      <c r="AN263" s="199">
        <f t="shared" si="4046"/>
        <v>68.442345673265223</v>
      </c>
      <c r="AO263" s="199">
        <f t="shared" si="4046"/>
        <v>68.373903327591961</v>
      </c>
      <c r="AP263" s="199">
        <f t="shared" si="4046"/>
        <v>68.305529424264364</v>
      </c>
      <c r="AQ263" s="199">
        <f t="shared" si="4046"/>
        <v>68.237223894840099</v>
      </c>
      <c r="AR263" s="199">
        <f t="shared" si="4046"/>
        <v>68.168986670945259</v>
      </c>
      <c r="AS263" s="199">
        <f t="shared" si="4046"/>
        <v>68.100817684274318</v>
      </c>
      <c r="AT263" s="199">
        <f t="shared" si="4046"/>
        <v>68.03271686659005</v>
      </c>
      <c r="AU263" s="199">
        <f t="shared" si="4046"/>
        <v>67.964684149723453</v>
      </c>
      <c r="AV263" s="199">
        <f t="shared" si="4046"/>
        <v>67.896719465573725</v>
      </c>
      <c r="AW263" s="199">
        <f t="shared" si="4046"/>
        <v>67.828822746108145</v>
      </c>
      <c r="AX263" s="199">
        <f t="shared" si="4046"/>
        <v>67.760993923362037</v>
      </c>
      <c r="AY263" s="199">
        <f t="shared" si="4046"/>
        <v>0</v>
      </c>
      <c r="AZ263" s="199">
        <f t="shared" si="4046"/>
        <v>0</v>
      </c>
      <c r="BA263" s="199">
        <f t="shared" si="4046"/>
        <v>0</v>
      </c>
      <c r="BB263" s="199">
        <f t="shared" si="4046"/>
        <v>0</v>
      </c>
      <c r="BC263" s="199">
        <f t="shared" si="4046"/>
        <v>0</v>
      </c>
      <c r="BD263" s="199">
        <f t="shared" si="4046"/>
        <v>0</v>
      </c>
      <c r="BE263" s="199">
        <f t="shared" si="4046"/>
        <v>0</v>
      </c>
      <c r="BF263" s="199">
        <f t="shared" si="4046"/>
        <v>0</v>
      </c>
      <c r="BG263" s="199">
        <f t="shared" si="4046"/>
        <v>0</v>
      </c>
      <c r="BH263" s="199">
        <f t="shared" si="4046"/>
        <v>0</v>
      </c>
      <c r="BI263" s="199">
        <f t="shared" si="4046"/>
        <v>0</v>
      </c>
      <c r="BJ263" s="199">
        <f t="shared" si="4046"/>
        <v>0</v>
      </c>
      <c r="BK263" s="199">
        <f t="shared" si="4046"/>
        <v>0</v>
      </c>
    </row>
    <row r="264" spans="1:63" ht="7.8" x14ac:dyDescent="0.15">
      <c r="A264" s="207" t="s">
        <v>96</v>
      </c>
      <c r="B264" s="192"/>
      <c r="C264" s="192"/>
      <c r="D264" s="192"/>
      <c r="E264" s="192"/>
      <c r="F264" s="192"/>
      <c r="G264" s="192"/>
      <c r="H264" s="192"/>
      <c r="I264" s="192"/>
      <c r="J264" s="192"/>
      <c r="K264" s="192"/>
      <c r="L264" s="192"/>
      <c r="M264" s="192"/>
      <c r="N264" s="192"/>
      <c r="O264" s="192"/>
      <c r="P264" s="192"/>
      <c r="Q264" s="192"/>
      <c r="R264" s="192"/>
      <c r="S264" s="192"/>
      <c r="T264" s="192"/>
      <c r="U264" s="192"/>
      <c r="V264" s="192"/>
      <c r="W264" s="192"/>
      <c r="X264" s="192"/>
      <c r="Y264" s="192"/>
      <c r="Z264" s="192"/>
      <c r="AA264" s="192"/>
      <c r="AB264" s="192"/>
      <c r="AC264" s="192"/>
      <c r="AD264" s="192"/>
      <c r="AE264" s="192"/>
      <c r="AF264" s="223">
        <f>AF261*AF263</f>
        <v>44.318006842990329</v>
      </c>
      <c r="AG264" s="200">
        <f t="shared" ref="AG264" si="4047">AG261*AG263</f>
        <v>42.131324211217773</v>
      </c>
      <c r="AH264" s="200">
        <f t="shared" ref="AH264" si="4048">AH261*AH263</f>
        <v>39.915975533522229</v>
      </c>
      <c r="AI264" s="200">
        <f t="shared" ref="AI264" si="4049">AI261*AI263</f>
        <v>37.671545158092513</v>
      </c>
      <c r="AJ264" s="200">
        <f t="shared" ref="AJ264" si="4050">AJ261*AJ263</f>
        <v>21.238566870022034</v>
      </c>
      <c r="AK264" s="200">
        <f t="shared" ref="AK264" si="4051">AK261*AK263</f>
        <v>19.856248023129332</v>
      </c>
      <c r="AL264" s="200">
        <f t="shared" ref="AL264" si="4052">AL261*AL263</f>
        <v>18.455710237700853</v>
      </c>
      <c r="AM264" s="200">
        <f t="shared" ref="AM264" si="4053">AM261*AM263</f>
        <v>17.036689450067239</v>
      </c>
      <c r="AN264" s="200">
        <f t="shared" ref="AN264" si="4054">AN261*AN263</f>
        <v>15.598917795400411</v>
      </c>
      <c r="AO264" s="200">
        <f t="shared" ref="AO264" si="4055">AO261*AO263</f>
        <v>14.142123552970423</v>
      </c>
      <c r="AP264" s="200">
        <f t="shared" ref="AP264" si="4056">AP261*AP263</f>
        <v>12.66603109061397</v>
      </c>
      <c r="AQ264" s="200">
        <f t="shared" ref="AQ264" si="4057">AQ261*AQ263</f>
        <v>11.170360808403181</v>
      </c>
      <c r="AR264" s="200">
        <f t="shared" ref="AR264" si="4058">AR261*AR263</f>
        <v>9.6548290815031574</v>
      </c>
      <c r="AS264" s="200">
        <f t="shared" ref="AS264" si="4059">AS261*AS263</f>
        <v>8.1191482022066079</v>
      </c>
      <c r="AT264" s="200">
        <f t="shared" ref="AT264" si="4060">AT261*AT263</f>
        <v>6.5630263211336963</v>
      </c>
      <c r="AU264" s="200">
        <f t="shared" ref="AU264" si="4061">AU261*AU263</f>
        <v>4.9861673875851018</v>
      </c>
      <c r="AV264" s="200">
        <f t="shared" ref="AV264" si="4062">AV261*AV263</f>
        <v>3.3882710890360968</v>
      </c>
      <c r="AW264" s="200">
        <f t="shared" ref="AW264" si="4063">AW261*AW263</f>
        <v>1.7690327897592522</v>
      </c>
      <c r="AX264" s="200">
        <f t="shared" ref="AX264" si="4064">AX261*AX263</f>
        <v>0.12814346856324518</v>
      </c>
      <c r="AY264" s="200">
        <f t="shared" ref="AY264" si="4065">AY261*AY263</f>
        <v>0</v>
      </c>
      <c r="AZ264" s="200">
        <f t="shared" ref="AZ264" si="4066">AZ261*AZ263</f>
        <v>0</v>
      </c>
      <c r="BA264" s="200">
        <f t="shared" ref="BA264" si="4067">BA261*BA263</f>
        <v>0</v>
      </c>
      <c r="BB264" s="200">
        <f t="shared" ref="BB264" si="4068">BB261*BB263</f>
        <v>0</v>
      </c>
      <c r="BC264" s="200">
        <f t="shared" ref="BC264" si="4069">BC261*BC263</f>
        <v>0</v>
      </c>
      <c r="BD264" s="200">
        <f t="shared" ref="BD264" si="4070">BD261*BD263</f>
        <v>0</v>
      </c>
      <c r="BE264" s="200">
        <f t="shared" ref="BE264" si="4071">BE261*BE263</f>
        <v>0</v>
      </c>
      <c r="BF264" s="200">
        <f t="shared" ref="BF264" si="4072">BF261*BF263</f>
        <v>0</v>
      </c>
      <c r="BG264" s="200">
        <f t="shared" ref="BG264" si="4073">BG261*BG263</f>
        <v>0</v>
      </c>
      <c r="BH264" s="200">
        <f t="shared" ref="BH264" si="4074">BH261*BH263</f>
        <v>0</v>
      </c>
      <c r="BI264" s="200">
        <f t="shared" ref="BI264" si="4075">BI261*BI263</f>
        <v>0</v>
      </c>
      <c r="BJ264" s="200">
        <f t="shared" ref="BJ264" si="4076">BJ261*BJ263</f>
        <v>0</v>
      </c>
      <c r="BK264" s="200">
        <f t="shared" ref="BK264" si="4077">BK261*BK263</f>
        <v>0</v>
      </c>
    </row>
    <row r="265" spans="1:63" ht="7.8" x14ac:dyDescent="0.15">
      <c r="A265" s="206" t="s">
        <v>97</v>
      </c>
      <c r="B265" s="192"/>
      <c r="C265" s="192"/>
      <c r="D265" s="192"/>
      <c r="E265" s="192"/>
      <c r="F265" s="192"/>
      <c r="G265" s="192"/>
      <c r="H265" s="192"/>
      <c r="I265" s="192"/>
      <c r="J265" s="192"/>
      <c r="K265" s="192"/>
      <c r="L265" s="192"/>
      <c r="M265" s="192"/>
      <c r="N265" s="192"/>
      <c r="O265" s="192"/>
      <c r="P265" s="192"/>
      <c r="Q265" s="192"/>
      <c r="R265" s="192"/>
      <c r="S265" s="192"/>
      <c r="T265" s="192"/>
      <c r="U265" s="192"/>
      <c r="V265" s="192"/>
      <c r="W265" s="192"/>
      <c r="X265" s="192"/>
      <c r="Y265" s="192"/>
      <c r="Z265" s="192"/>
      <c r="AA265" s="192"/>
      <c r="AB265" s="192"/>
      <c r="AC265" s="192"/>
      <c r="AD265" s="192"/>
      <c r="AE265" s="192"/>
      <c r="AF265" s="223">
        <f>AF262*AF263</f>
        <v>139.10329518250529</v>
      </c>
      <c r="AG265" s="200">
        <f>AG262*AG263</f>
        <v>141.10655651225233</v>
      </c>
      <c r="AH265" s="200">
        <f t="shared" ref="AH265:BK265" si="4078">AH262*AH263</f>
        <v>143.13866730922442</v>
      </c>
      <c r="AI265" s="200">
        <f t="shared" si="4078"/>
        <v>145.20004304181137</v>
      </c>
      <c r="AJ265" s="200">
        <f t="shared" si="4078"/>
        <v>88.374663097000365</v>
      </c>
      <c r="AK265" s="200">
        <f t="shared" si="4078"/>
        <v>89.647368713926042</v>
      </c>
      <c r="AL265" s="200">
        <f t="shared" si="4078"/>
        <v>90.938402882617453</v>
      </c>
      <c r="AM265" s="200">
        <f t="shared" si="4078"/>
        <v>92.248029557130749</v>
      </c>
      <c r="AN265" s="200">
        <f t="shared" si="4078"/>
        <v>93.576516492790375</v>
      </c>
      <c r="AO265" s="200">
        <f t="shared" si="4078"/>
        <v>94.924135300932164</v>
      </c>
      <c r="AP265" s="200">
        <f t="shared" si="4078"/>
        <v>96.291161504434712</v>
      </c>
      <c r="AQ265" s="200">
        <f t="shared" si="4078"/>
        <v>97.677874594050465</v>
      </c>
      <c r="AR265" s="200">
        <f t="shared" si="4078"/>
        <v>99.084558085548025</v>
      </c>
      <c r="AS265" s="200">
        <f t="shared" si="4078"/>
        <v>100.51149957767753</v>
      </c>
      <c r="AT265" s="200">
        <f t="shared" si="4078"/>
        <v>101.95899081097058</v>
      </c>
      <c r="AU265" s="200">
        <f t="shared" si="4078"/>
        <v>103.42732772738705</v>
      </c>
      <c r="AV265" s="200">
        <f t="shared" si="4078"/>
        <v>104.91681053082107</v>
      </c>
      <c r="AW265" s="200">
        <f t="shared" si="4078"/>
        <v>106.42774374847805</v>
      </c>
      <c r="AX265" s="200">
        <f t="shared" si="4078"/>
        <v>107.96043629313583</v>
      </c>
      <c r="AY265" s="200">
        <f t="shared" si="4078"/>
        <v>0</v>
      </c>
      <c r="AZ265" s="200">
        <f t="shared" si="4078"/>
        <v>0</v>
      </c>
      <c r="BA265" s="200">
        <f t="shared" si="4078"/>
        <v>0</v>
      </c>
      <c r="BB265" s="200">
        <f t="shared" si="4078"/>
        <v>0</v>
      </c>
      <c r="BC265" s="200">
        <f t="shared" si="4078"/>
        <v>0</v>
      </c>
      <c r="BD265" s="200">
        <f t="shared" si="4078"/>
        <v>0</v>
      </c>
      <c r="BE265" s="200">
        <f t="shared" si="4078"/>
        <v>0</v>
      </c>
      <c r="BF265" s="200">
        <f t="shared" si="4078"/>
        <v>0</v>
      </c>
      <c r="BG265" s="200">
        <f t="shared" si="4078"/>
        <v>0</v>
      </c>
      <c r="BH265" s="200">
        <f t="shared" si="4078"/>
        <v>0</v>
      </c>
      <c r="BI265" s="200">
        <f t="shared" si="4078"/>
        <v>0</v>
      </c>
      <c r="BJ265" s="200">
        <f t="shared" si="4078"/>
        <v>0</v>
      </c>
      <c r="BK265" s="200">
        <f t="shared" si="4078"/>
        <v>0</v>
      </c>
    </row>
    <row r="266" spans="1:63" ht="7.8" x14ac:dyDescent="0.15">
      <c r="A266" s="208" t="s">
        <v>203</v>
      </c>
      <c r="B266" s="192"/>
      <c r="C266" s="192"/>
      <c r="D266" s="192"/>
      <c r="E266" s="192"/>
      <c r="F266" s="192"/>
      <c r="G266" s="192"/>
      <c r="H266" s="192"/>
      <c r="I266" s="192"/>
      <c r="J266" s="192"/>
      <c r="K266" s="192"/>
      <c r="L266" s="192"/>
      <c r="M266" s="192"/>
      <c r="N266" s="192"/>
      <c r="O266" s="192"/>
      <c r="P266" s="192"/>
      <c r="Q266" s="192"/>
      <c r="R266" s="192"/>
      <c r="S266" s="192"/>
      <c r="T266" s="192"/>
      <c r="U266" s="192"/>
      <c r="V266" s="192"/>
      <c r="W266" s="192"/>
      <c r="X266" s="192"/>
      <c r="Y266" s="192"/>
      <c r="Z266" s="192"/>
      <c r="AA266" s="192"/>
      <c r="AB266" s="192"/>
      <c r="AC266" s="192"/>
      <c r="AD266" s="192"/>
      <c r="AE266" s="192"/>
      <c r="AF266" s="224">
        <f>IF(AF258-101&lt;&gt;LoanSaleHeld,0,SUM($D265:AF265)*LoanSalePercent)</f>
        <v>0</v>
      </c>
      <c r="AG266" s="225">
        <f>IF(AG258-101&lt;&gt;LoanSaleHeld,0,SUM($D265:AG265)*LoanSalePercent)</f>
        <v>0</v>
      </c>
      <c r="AH266" s="225">
        <f>IF(AH258-101&lt;&gt;LoanSaleHeld,0,SUM($D265:AH265)*LoanSalePercent)</f>
        <v>0</v>
      </c>
      <c r="AI266" s="225">
        <f>IF(AI258-101&lt;&gt;LoanSaleHeld,0,SUM($D265:AI265)*LoanSalePercent)</f>
        <v>227.41942481831734</v>
      </c>
      <c r="AJ266" s="225">
        <f>IF(AJ258-101&lt;&gt;LoanSaleHeld,0,SUM($D265:AJ265)*LoanSalePercent)</f>
        <v>0</v>
      </c>
      <c r="AK266" s="225">
        <f>IF(AK258-101&lt;&gt;LoanSaleHeld,0,SUM($D265:AK265)*LoanSalePercent)</f>
        <v>0</v>
      </c>
      <c r="AL266" s="225">
        <f>IF(AL258-101&lt;&gt;LoanSaleHeld,0,SUM($D265:AL265)*LoanSalePercent)</f>
        <v>0</v>
      </c>
      <c r="AM266" s="225">
        <f>IF(AM258-101&lt;&gt;LoanSaleHeld,0,SUM($D265:AM265)*LoanSalePercent)</f>
        <v>0</v>
      </c>
      <c r="AN266" s="225">
        <f>IF(AN258-101&lt;&gt;LoanSaleHeld,0,SUM($D265:AN265)*LoanSalePercent)</f>
        <v>0</v>
      </c>
      <c r="AO266" s="225">
        <f>IF(AO258-101&lt;&gt;LoanSaleHeld,0,SUM($D265:AO265)*LoanSalePercent)</f>
        <v>0</v>
      </c>
      <c r="AP266" s="225">
        <f>IF(AP258-101&lt;&gt;LoanSaleHeld,0,SUM($D265:AP265)*LoanSalePercent)</f>
        <v>0</v>
      </c>
      <c r="AQ266" s="225">
        <f>IF(AQ258-101&lt;&gt;LoanSaleHeld,0,SUM($D265:AQ265)*LoanSalePercent)</f>
        <v>0</v>
      </c>
      <c r="AR266" s="225">
        <f>IF(AR258-101&lt;&gt;LoanSaleHeld,0,SUM($D265:AR265)*LoanSalePercent)</f>
        <v>0</v>
      </c>
      <c r="AS266" s="225">
        <f>IF(AS258-101&lt;&gt;LoanSaleHeld,0,SUM($D265:AS265)*LoanSalePercent)</f>
        <v>0</v>
      </c>
      <c r="AT266" s="225">
        <f>IF(AT258-101&lt;&gt;LoanSaleHeld,0,SUM($D265:AT265)*LoanSalePercent)</f>
        <v>0</v>
      </c>
      <c r="AU266" s="225">
        <f>IF(AU258-101&lt;&gt;LoanSaleHeld,0,SUM($D265:AU265)*LoanSalePercent)</f>
        <v>0</v>
      </c>
      <c r="AV266" s="225">
        <f>IF(AV258-101&lt;&gt;LoanSaleHeld,0,SUM($D265:AV265)*LoanSalePercent)</f>
        <v>0</v>
      </c>
      <c r="AW266" s="225">
        <f>IF(AW258-101&lt;&gt;LoanSaleHeld,0,SUM($D265:AW265)*LoanSalePercent)</f>
        <v>0</v>
      </c>
      <c r="AX266" s="225">
        <f>IF(AX258-101&lt;&gt;LoanSaleHeld,0,SUM($D265:AX265)*LoanSalePercent)</f>
        <v>0</v>
      </c>
      <c r="AY266" s="225">
        <f>IF(AY258-101&lt;&gt;LoanSaleHeld,0,SUM($D265:AY265)*LoanSalePercent)</f>
        <v>0</v>
      </c>
      <c r="AZ266" s="225">
        <f>IF(AZ258-101&lt;&gt;LoanSaleHeld,0,SUM($D265:AZ265)*LoanSalePercent)</f>
        <v>0</v>
      </c>
      <c r="BA266" s="225">
        <f>IF(BA258-101&lt;&gt;LoanSaleHeld,0,SUM($D265:BA265)*LoanSalePercent)</f>
        <v>0</v>
      </c>
      <c r="BB266" s="225">
        <f>IF(BB258-101&lt;&gt;LoanSaleHeld,0,SUM($D265:BB265)*LoanSalePercent)</f>
        <v>0</v>
      </c>
      <c r="BC266" s="225">
        <f>IF(BC258-101&lt;&gt;LoanSaleHeld,0,SUM($D265:BC265)*LoanSalePercent)</f>
        <v>0</v>
      </c>
      <c r="BD266" s="225">
        <f>IF(BD258-101&lt;&gt;LoanSaleHeld,0,SUM($D265:BD265)*LoanSalePercent)</f>
        <v>0</v>
      </c>
      <c r="BE266" s="225">
        <f>IF(BE258-101&lt;&gt;LoanSaleHeld,0,SUM($D265:BE265)*LoanSalePercent)</f>
        <v>0</v>
      </c>
      <c r="BF266" s="225">
        <f>IF(BF258-101&lt;&gt;LoanSaleHeld,0,SUM($D265:BF265)*LoanSalePercent)</f>
        <v>0</v>
      </c>
      <c r="BG266" s="225">
        <f>IF(BG258-101&lt;&gt;LoanSaleHeld,0,SUM($D265:BG265)*LoanSalePercent)</f>
        <v>0</v>
      </c>
      <c r="BH266" s="225">
        <f>IF(BH258-101&lt;&gt;LoanSaleHeld,0,SUM($D265:BH265)*LoanSalePercent)</f>
        <v>0</v>
      </c>
      <c r="BI266" s="225">
        <f>IF(BI258-101&lt;&gt;LoanSaleHeld,0,SUM($D265:BI265)*LoanSalePercent)</f>
        <v>0</v>
      </c>
      <c r="BJ266" s="225">
        <f>IF(BJ258-101&lt;&gt;LoanSaleHeld,0,SUM($D265:BJ265)*LoanSalePercent)</f>
        <v>0</v>
      </c>
      <c r="BK266" s="225">
        <f>IF(BK258-101&lt;&gt;LoanSaleHeld,0,SUM($D265:BK265)*LoanSalePercent)</f>
        <v>0</v>
      </c>
    </row>
    <row r="267" spans="1:63" ht="7.8" x14ac:dyDescent="0.15">
      <c r="A267" s="204">
        <f t="shared" ref="A267" si="4079">A258+1</f>
        <v>30</v>
      </c>
      <c r="B267" s="192"/>
      <c r="C267" s="192"/>
      <c r="D267" s="192"/>
      <c r="E267" s="192"/>
      <c r="F267" s="192"/>
      <c r="G267" s="192"/>
      <c r="H267" s="192"/>
      <c r="I267" s="192"/>
      <c r="J267" s="192"/>
      <c r="K267" s="192"/>
      <c r="L267" s="192"/>
      <c r="M267" s="192"/>
      <c r="N267" s="192"/>
      <c r="O267" s="192"/>
      <c r="P267" s="192"/>
      <c r="Q267" s="192"/>
      <c r="R267" s="192"/>
      <c r="S267" s="192"/>
      <c r="T267" s="192"/>
      <c r="U267" s="192"/>
      <c r="V267" s="192"/>
      <c r="W267" s="192"/>
      <c r="X267" s="192"/>
      <c r="Y267" s="192"/>
      <c r="Z267" s="192"/>
      <c r="AA267" s="192"/>
      <c r="AB267" s="192"/>
      <c r="AC267" s="192"/>
      <c r="AD267" s="192"/>
      <c r="AE267" s="192"/>
      <c r="AF267" s="192"/>
      <c r="AG267" s="195">
        <v>101</v>
      </c>
      <c r="AH267" s="196">
        <f t="shared" ref="AH267" si="4080">IF(AH268=0,0,AG267+1)</f>
        <v>102</v>
      </c>
      <c r="AI267" s="196">
        <f t="shared" ref="AI267" si="4081">IF(AI268=0,0,AH267+1)</f>
        <v>103</v>
      </c>
      <c r="AJ267" s="196">
        <f t="shared" ref="AJ267" si="4082">IF(AJ268=0,0,AI267+1)</f>
        <v>104</v>
      </c>
      <c r="AK267" s="196">
        <f t="shared" ref="AK267" si="4083">IF(AK268=0,0,AJ267+1)</f>
        <v>105</v>
      </c>
      <c r="AL267" s="196">
        <f t="shared" ref="AL267" si="4084">IF(AL268=0,0,AK267+1)</f>
        <v>106</v>
      </c>
      <c r="AM267" s="196">
        <f t="shared" ref="AM267" si="4085">IF(AM268=0,0,AL267+1)</f>
        <v>107</v>
      </c>
      <c r="AN267" s="196">
        <f t="shared" ref="AN267" si="4086">IF(AN268=0,0,AM267+1)</f>
        <v>108</v>
      </c>
      <c r="AO267" s="196">
        <f t="shared" ref="AO267" si="4087">IF(AO268=0,0,AN267+1)</f>
        <v>109</v>
      </c>
      <c r="AP267" s="196">
        <f t="shared" ref="AP267" si="4088">IF(AP268=0,0,AO267+1)</f>
        <v>110</v>
      </c>
      <c r="AQ267" s="196">
        <f t="shared" ref="AQ267" si="4089">IF(AQ268=0,0,AP267+1)</f>
        <v>111</v>
      </c>
      <c r="AR267" s="196">
        <f t="shared" ref="AR267" si="4090">IF(AR268=0,0,AQ267+1)</f>
        <v>112</v>
      </c>
      <c r="AS267" s="196">
        <f t="shared" ref="AS267" si="4091">IF(AS268=0,0,AR267+1)</f>
        <v>113</v>
      </c>
      <c r="AT267" s="196">
        <f t="shared" ref="AT267" si="4092">IF(AT268=0,0,AS267+1)</f>
        <v>114</v>
      </c>
      <c r="AU267" s="196">
        <f t="shared" ref="AU267" si="4093">IF(AU268=0,0,AT267+1)</f>
        <v>115</v>
      </c>
      <c r="AV267" s="196">
        <f t="shared" ref="AV267" si="4094">IF(AV268=0,0,AU267+1)</f>
        <v>116</v>
      </c>
      <c r="AW267" s="196">
        <f t="shared" ref="AW267" si="4095">IF(AW268=0,0,AV267+1)</f>
        <v>117</v>
      </c>
      <c r="AX267" s="196">
        <f t="shared" ref="AX267" si="4096">IF(AX268=0,0,AW267+1)</f>
        <v>118</v>
      </c>
      <c r="AY267" s="196">
        <f t="shared" ref="AY267" si="4097">IF(AY268=0,0,AX267+1)</f>
        <v>119</v>
      </c>
      <c r="AZ267" s="196">
        <f t="shared" ref="AZ267" si="4098">IF(AZ268=0,0,AY267+1)</f>
        <v>0</v>
      </c>
      <c r="BA267" s="196">
        <f t="shared" ref="BA267" si="4099">IF(BA268=0,0,AZ267+1)</f>
        <v>0</v>
      </c>
      <c r="BB267" s="196">
        <f t="shared" ref="BB267" si="4100">IF(BB268=0,0,BA267+1)</f>
        <v>0</v>
      </c>
      <c r="BC267" s="196">
        <f t="shared" ref="BC267" si="4101">IF(BC268=0,0,BB267+1)</f>
        <v>0</v>
      </c>
      <c r="BD267" s="196">
        <f t="shared" ref="BD267" si="4102">IF(BD268=0,0,BC267+1)</f>
        <v>0</v>
      </c>
      <c r="BE267" s="196">
        <f t="shared" ref="BE267" si="4103">IF(BE268=0,0,BD267+1)</f>
        <v>0</v>
      </c>
      <c r="BF267" s="196">
        <f t="shared" ref="BF267" si="4104">IF(BF268=0,0,BE267+1)</f>
        <v>0</v>
      </c>
      <c r="BG267" s="196">
        <f t="shared" ref="BG267" si="4105">IF(BG268=0,0,BF267+1)</f>
        <v>0</v>
      </c>
      <c r="BH267" s="196">
        <f t="shared" ref="BH267" si="4106">IF(BH268=0,0,BG267+1)</f>
        <v>0</v>
      </c>
      <c r="BI267" s="196">
        <f t="shared" ref="BI267" si="4107">IF(BI268=0,0,BH267+1)</f>
        <v>0</v>
      </c>
      <c r="BJ267" s="196">
        <f t="shared" ref="BJ267" si="4108">IF(BJ268=0,0,BI267+1)</f>
        <v>0</v>
      </c>
      <c r="BK267" s="196">
        <f t="shared" ref="BK267" si="4109">IF(BK268=0,0,BJ267+1)</f>
        <v>0</v>
      </c>
    </row>
    <row r="268" spans="1:63" ht="7.8" x14ac:dyDescent="0.15">
      <c r="A268" s="216" t="s">
        <v>178</v>
      </c>
      <c r="B268" s="192"/>
      <c r="C268" s="192"/>
      <c r="D268" s="192"/>
      <c r="E268" s="192"/>
      <c r="F268" s="192"/>
      <c r="G268" s="192"/>
      <c r="H268" s="192"/>
      <c r="I268" s="192"/>
      <c r="J268" s="192"/>
      <c r="K268" s="192"/>
      <c r="L268" s="192"/>
      <c r="M268" s="192"/>
      <c r="N268" s="192"/>
      <c r="O268" s="192"/>
      <c r="P268" s="192"/>
      <c r="Q268" s="192"/>
      <c r="R268" s="192"/>
      <c r="S268" s="192"/>
      <c r="T268" s="192"/>
      <c r="U268" s="192"/>
      <c r="V268" s="192"/>
      <c r="W268" s="192"/>
      <c r="X268" s="192"/>
      <c r="Y268" s="192"/>
      <c r="Z268" s="192"/>
      <c r="AA268" s="192"/>
      <c r="AB268" s="192"/>
      <c r="AC268" s="192"/>
      <c r="AD268" s="192"/>
      <c r="AE268" s="192"/>
      <c r="AF268" s="192"/>
      <c r="AG268" s="217">
        <f>LoanSize</f>
        <v>25</v>
      </c>
      <c r="AH268" s="215">
        <f>IF(AG268-AG271&lt;=0.1,0,AG268-AG271)</f>
        <v>23.79027212253634</v>
      </c>
      <c r="AI268" s="215">
        <f t="shared" ref="AI268:BK268" si="4110">IF(AH268-AH271&lt;=0.1,0,AH268-AH271)</f>
        <v>22.56189427362845</v>
      </c>
      <c r="AJ268" s="215">
        <f t="shared" si="4110"/>
        <v>21.314578932883229</v>
      </c>
      <c r="AK268" s="215">
        <f t="shared" si="4110"/>
        <v>20.048034147301522</v>
      </c>
      <c r="AL268" s="215">
        <f t="shared" si="4110"/>
        <v>18.761963462942095</v>
      </c>
      <c r="AM268" s="215">
        <f t="shared" si="4110"/>
        <v>17.456065855532128</v>
      </c>
      <c r="AN268" s="215">
        <f t="shared" si="4110"/>
        <v>16.130035660007923</v>
      </c>
      <c r="AO268" s="215">
        <f t="shared" si="4110"/>
        <v>14.783562498969387</v>
      </c>
      <c r="AP268" s="215">
        <f t="shared" si="4110"/>
        <v>13.416331210031506</v>
      </c>
      <c r="AQ268" s="215">
        <f t="shared" si="4110"/>
        <v>12.028021772055833</v>
      </c>
      <c r="AR268" s="215">
        <f t="shared" si="4110"/>
        <v>10.618309230244702</v>
      </c>
      <c r="AS268" s="215">
        <f t="shared" si="4110"/>
        <v>9.1868636200806488</v>
      </c>
      <c r="AT268" s="215">
        <f t="shared" si="4110"/>
        <v>7.7333498900932334</v>
      </c>
      <c r="AU268" s="215">
        <f t="shared" si="4110"/>
        <v>6.2574278234351794</v>
      </c>
      <c r="AV268" s="215">
        <f t="shared" si="4110"/>
        <v>4.7587519582494799</v>
      </c>
      <c r="AW268" s="215">
        <f t="shared" si="4110"/>
        <v>3.2369715068088345</v>
      </c>
      <c r="AX268" s="215">
        <f t="shared" si="4110"/>
        <v>1.6917302734084789</v>
      </c>
      <c r="AY268" s="215">
        <f t="shared" si="4110"/>
        <v>0.12266657099320111</v>
      </c>
      <c r="AZ268" s="215">
        <f t="shared" si="4110"/>
        <v>0</v>
      </c>
      <c r="BA268" s="215">
        <f t="shared" si="4110"/>
        <v>0</v>
      </c>
      <c r="BB268" s="215">
        <f t="shared" si="4110"/>
        <v>0</v>
      </c>
      <c r="BC268" s="215">
        <f t="shared" si="4110"/>
        <v>0</v>
      </c>
      <c r="BD268" s="215">
        <f t="shared" si="4110"/>
        <v>0</v>
      </c>
      <c r="BE268" s="215">
        <f t="shared" si="4110"/>
        <v>0</v>
      </c>
      <c r="BF268" s="215">
        <f t="shared" si="4110"/>
        <v>0</v>
      </c>
      <c r="BG268" s="215">
        <f t="shared" si="4110"/>
        <v>0</v>
      </c>
      <c r="BH268" s="215">
        <f t="shared" si="4110"/>
        <v>0</v>
      </c>
      <c r="BI268" s="215">
        <f t="shared" si="4110"/>
        <v>0</v>
      </c>
      <c r="BJ268" s="215">
        <f t="shared" si="4110"/>
        <v>0</v>
      </c>
      <c r="BK268" s="215">
        <f t="shared" si="4110"/>
        <v>0</v>
      </c>
    </row>
    <row r="269" spans="1:63" ht="7.8" x14ac:dyDescent="0.15">
      <c r="A269" s="218" t="s">
        <v>179</v>
      </c>
      <c r="B269" s="192"/>
      <c r="C269" s="192"/>
      <c r="D269" s="192"/>
      <c r="E269" s="192"/>
      <c r="F269" s="192"/>
      <c r="G269" s="192"/>
      <c r="H269" s="192"/>
      <c r="I269" s="192"/>
      <c r="J269" s="192"/>
      <c r="K269" s="192"/>
      <c r="L269" s="192"/>
      <c r="M269" s="192"/>
      <c r="N269" s="192"/>
      <c r="O269" s="192"/>
      <c r="P269" s="192"/>
      <c r="Q269" s="192"/>
      <c r="R269" s="192"/>
      <c r="S269" s="192"/>
      <c r="T269" s="192"/>
      <c r="U269" s="192"/>
      <c r="V269" s="192"/>
      <c r="W269" s="192"/>
      <c r="X269" s="192"/>
      <c r="Y269" s="192"/>
      <c r="Z269" s="192"/>
      <c r="AA269" s="192"/>
      <c r="AB269" s="192"/>
      <c r="AC269" s="192"/>
      <c r="AD269" s="192"/>
      <c r="AE269" s="192"/>
      <c r="AF269" s="192"/>
      <c r="AG269" s="219">
        <f>IF(AG268=0,0,PMT(INDEX(LoanCohortRate,1),LoanTerm, -LoanSize))</f>
        <v>1.5951445441303251</v>
      </c>
      <c r="AH269" s="222">
        <f t="shared" ref="AH269" si="4111">IF(AH268=0,0, AG269)</f>
        <v>1.5951445441303251</v>
      </c>
      <c r="AI269" s="222">
        <f t="shared" ref="AI269" si="4112">IF(AI268=0,0, AH269)</f>
        <v>1.5951445441303251</v>
      </c>
      <c r="AJ269" s="222">
        <f t="shared" ref="AJ269" si="4113">IF(AJ268=0,0, AI269)</f>
        <v>1.5951445441303251</v>
      </c>
      <c r="AK269" s="222">
        <f t="shared" ref="AK269" si="4114">IF(AK268=0,0, AJ269)</f>
        <v>1.5951445441303251</v>
      </c>
      <c r="AL269" s="222">
        <f t="shared" ref="AL269" si="4115">IF(AL268=0,0, AK269)</f>
        <v>1.5951445441303251</v>
      </c>
      <c r="AM269" s="222">
        <f t="shared" ref="AM269" si="4116">IF(AM268=0,0, AL269)</f>
        <v>1.5951445441303251</v>
      </c>
      <c r="AN269" s="222">
        <f t="shared" ref="AN269" si="4117">IF(AN268=0,0, AM269)</f>
        <v>1.5951445441303251</v>
      </c>
      <c r="AO269" s="222">
        <f t="shared" ref="AO269" si="4118">IF(AO268=0,0, AN269)</f>
        <v>1.5951445441303251</v>
      </c>
      <c r="AP269" s="222">
        <f t="shared" ref="AP269" si="4119">IF(AP268=0,0, AO269)</f>
        <v>1.5951445441303251</v>
      </c>
      <c r="AQ269" s="222">
        <f t="shared" ref="AQ269" si="4120">IF(AQ268=0,0, AP269)</f>
        <v>1.5951445441303251</v>
      </c>
      <c r="AR269" s="222">
        <f t="shared" ref="AR269" si="4121">IF(AR268=0,0, AQ269)</f>
        <v>1.5951445441303251</v>
      </c>
      <c r="AS269" s="222">
        <f t="shared" ref="AS269" si="4122">IF(AS268=0,0, AR269)</f>
        <v>1.5951445441303251</v>
      </c>
      <c r="AT269" s="222">
        <f t="shared" ref="AT269" si="4123">IF(AT268=0,0, AS269)</f>
        <v>1.5951445441303251</v>
      </c>
      <c r="AU269" s="222">
        <f t="shared" ref="AU269" si="4124">IF(AU268=0,0, AT269)</f>
        <v>1.5951445441303251</v>
      </c>
      <c r="AV269" s="222">
        <f t="shared" ref="AV269" si="4125">IF(AV268=0,0, AU269)</f>
        <v>1.5951445441303251</v>
      </c>
      <c r="AW269" s="222">
        <f t="shared" ref="AW269" si="4126">IF(AW268=0,0, AV269)</f>
        <v>1.5951445441303251</v>
      </c>
      <c r="AX269" s="222">
        <f t="shared" ref="AX269" si="4127">IF(AX268=0,0, AW269)</f>
        <v>1.5951445441303251</v>
      </c>
      <c r="AY269" s="222">
        <f t="shared" ref="AY269" si="4128">IF(AY268=0,0, AX269)</f>
        <v>1.5951445441303251</v>
      </c>
      <c r="AZ269" s="222">
        <f t="shared" ref="AZ269" si="4129">IF(AZ268=0,0, AY269)</f>
        <v>0</v>
      </c>
      <c r="BA269" s="222">
        <f t="shared" ref="BA269" si="4130">IF(BA268=0,0, AZ269)</f>
        <v>0</v>
      </c>
      <c r="BB269" s="222">
        <f t="shared" ref="BB269" si="4131">IF(BB268=0,0, BA269)</f>
        <v>0</v>
      </c>
      <c r="BC269" s="222">
        <f t="shared" ref="BC269" si="4132">IF(BC268=0,0, BB269)</f>
        <v>0</v>
      </c>
      <c r="BD269" s="222">
        <f t="shared" ref="BD269" si="4133">IF(BD268=0,0, BC269)</f>
        <v>0</v>
      </c>
      <c r="BE269" s="222">
        <f t="shared" ref="BE269" si="4134">IF(BE268=0,0, BD269)</f>
        <v>0</v>
      </c>
      <c r="BF269" s="222">
        <f t="shared" ref="BF269" si="4135">IF(BF268=0,0, BE269)</f>
        <v>0</v>
      </c>
      <c r="BG269" s="222">
        <f t="shared" ref="BG269" si="4136">IF(BG268=0,0, BF269)</f>
        <v>0</v>
      </c>
      <c r="BH269" s="222">
        <f t="shared" ref="BH269" si="4137">IF(BH268=0,0, BG269)</f>
        <v>0</v>
      </c>
      <c r="BI269" s="222">
        <f t="shared" ref="BI269" si="4138">IF(BI268=0,0, BH269)</f>
        <v>0</v>
      </c>
      <c r="BJ269" s="222">
        <f t="shared" ref="BJ269" si="4139">IF(BJ268=0,0, BI269)</f>
        <v>0</v>
      </c>
      <c r="BK269" s="222">
        <f t="shared" ref="BK269" si="4140">IF(BK268=0,0, BJ269)</f>
        <v>0</v>
      </c>
    </row>
    <row r="270" spans="1:63" ht="7.8" x14ac:dyDescent="0.15">
      <c r="A270" s="218" t="s">
        <v>180</v>
      </c>
      <c r="B270" s="192"/>
      <c r="C270" s="192"/>
      <c r="D270" s="192"/>
      <c r="E270" s="192"/>
      <c r="F270" s="192"/>
      <c r="G270" s="192"/>
      <c r="H270" s="192"/>
      <c r="I270" s="192"/>
      <c r="J270" s="192"/>
      <c r="K270" s="192"/>
      <c r="L270" s="192"/>
      <c r="M270" s="192"/>
      <c r="N270" s="192"/>
      <c r="O270" s="192"/>
      <c r="P270" s="192"/>
      <c r="Q270" s="192"/>
      <c r="R270" s="192"/>
      <c r="S270" s="192"/>
      <c r="T270" s="192"/>
      <c r="U270" s="192"/>
      <c r="V270" s="192"/>
      <c r="W270" s="192"/>
      <c r="X270" s="192"/>
      <c r="Y270" s="192"/>
      <c r="Z270" s="192"/>
      <c r="AA270" s="192"/>
      <c r="AB270" s="192"/>
      <c r="AC270" s="192"/>
      <c r="AD270" s="192"/>
      <c r="AE270" s="192"/>
      <c r="AF270" s="192"/>
      <c r="AG270" s="220" cm="1">
        <f t="array" ref="AG270">AG268*INDEX(LoanCohortRate,$A267)</f>
        <v>0.38541666666666669</v>
      </c>
      <c r="AH270" s="221" cm="1">
        <f t="array" ref="AH270">AH268*INDEX(LoanCohortRate,$A267)</f>
        <v>0.36676669522243527</v>
      </c>
      <c r="AI270" s="221" cm="1">
        <f t="array" ref="AI270">AI268*INDEX(LoanCohortRate,$A267)</f>
        <v>0.34782920338510526</v>
      </c>
      <c r="AJ270" s="221" cm="1">
        <f t="array" ref="AJ270">AJ268*INDEX(LoanCohortRate,$A267)</f>
        <v>0.32859975854861645</v>
      </c>
      <c r="AK270" s="221" cm="1">
        <f t="array" ref="AK270">AK268*INDEX(LoanCohortRate,$A267)</f>
        <v>0.30907385977089846</v>
      </c>
      <c r="AL270" s="221" cm="1">
        <f t="array" ref="AL270">AL268*INDEX(LoanCohortRate,$A267)</f>
        <v>0.28924693672035728</v>
      </c>
      <c r="AM270" s="221" cm="1">
        <f t="array" ref="AM270">AM268*INDEX(LoanCohortRate,$A267)</f>
        <v>0.26911434860612032</v>
      </c>
      <c r="AN270" s="221" cm="1">
        <f t="array" ref="AN270">AN268*INDEX(LoanCohortRate,$A267)</f>
        <v>0.24867138309178882</v>
      </c>
      <c r="AO270" s="221" cm="1">
        <f t="array" ref="AO270">AO268*INDEX(LoanCohortRate,$A267)</f>
        <v>0.22791325519244471</v>
      </c>
      <c r="AP270" s="221" cm="1">
        <f t="array" ref="AP270">AP268*INDEX(LoanCohortRate,$A267)</f>
        <v>0.20683510615465239</v>
      </c>
      <c r="AQ270" s="221" cm="1">
        <f t="array" ref="AQ270">AQ268*INDEX(LoanCohortRate,$A267)</f>
        <v>0.1854320023191941</v>
      </c>
      <c r="AR270" s="221" cm="1">
        <f t="array" ref="AR270">AR268*INDEX(LoanCohortRate,$A267)</f>
        <v>0.1636989339662725</v>
      </c>
      <c r="AS270" s="221" cm="1">
        <f t="array" ref="AS270">AS268*INDEX(LoanCohortRate,$A267)</f>
        <v>0.14163081414291001</v>
      </c>
      <c r="AT270" s="221" cm="1">
        <f t="array" ref="AT270">AT268*INDEX(LoanCohortRate,$A267)</f>
        <v>0.11922247747227069</v>
      </c>
      <c r="AU270" s="221" cm="1">
        <f t="array" ref="AU270">AU268*INDEX(LoanCohortRate,$A267)</f>
        <v>9.6468678944625685E-2</v>
      </c>
      <c r="AV270" s="221" cm="1">
        <f t="array" ref="AV270">AV268*INDEX(LoanCohortRate,$A267)</f>
        <v>7.3364092689679486E-2</v>
      </c>
      <c r="AW270" s="221" cm="1">
        <f t="array" ref="AW270">AW268*INDEX(LoanCohortRate,$A267)</f>
        <v>4.9903310729969536E-2</v>
      </c>
      <c r="AX270" s="221" cm="1">
        <f t="array" ref="AX270">AX268*INDEX(LoanCohortRate,$A267)</f>
        <v>2.6080841715047383E-2</v>
      </c>
      <c r="AY270" s="221" cm="1">
        <f t="array" ref="AY270">AY268*INDEX(LoanCohortRate,$A267)</f>
        <v>1.8911096361451838E-3</v>
      </c>
      <c r="AZ270" s="221" cm="1">
        <f t="array" ref="AZ270">AZ268*INDEX(LoanCohortRate,$A267)</f>
        <v>0</v>
      </c>
      <c r="BA270" s="221" cm="1">
        <f t="array" ref="BA270">BA268*INDEX(LoanCohortRate,$A267)</f>
        <v>0</v>
      </c>
      <c r="BB270" s="221" cm="1">
        <f t="array" ref="BB270">BB268*INDEX(LoanCohortRate,$A267)</f>
        <v>0</v>
      </c>
      <c r="BC270" s="221" cm="1">
        <f t="array" ref="BC270">BC268*INDEX(LoanCohortRate,$A267)</f>
        <v>0</v>
      </c>
      <c r="BD270" s="221" cm="1">
        <f t="array" ref="BD270">BD268*INDEX(LoanCohortRate,$A267)</f>
        <v>0</v>
      </c>
      <c r="BE270" s="221" cm="1">
        <f t="array" ref="BE270">BE268*INDEX(LoanCohortRate,$A267)</f>
        <v>0</v>
      </c>
      <c r="BF270" s="221" cm="1">
        <f t="array" ref="BF270">BF268*INDEX(LoanCohortRate,$A267)</f>
        <v>0</v>
      </c>
      <c r="BG270" s="221" cm="1">
        <f t="array" ref="BG270">BG268*INDEX(LoanCohortRate,$A267)</f>
        <v>0</v>
      </c>
      <c r="BH270" s="221" cm="1">
        <f t="array" ref="BH270">BH268*INDEX(LoanCohortRate,$A267)</f>
        <v>0</v>
      </c>
      <c r="BI270" s="221" cm="1">
        <f t="array" ref="BI270">BI268*INDEX(LoanCohortRate,$A267)</f>
        <v>0</v>
      </c>
      <c r="BJ270" s="221" cm="1">
        <f t="array" ref="BJ270">BJ268*INDEX(LoanCohortRate,$A267)</f>
        <v>0</v>
      </c>
      <c r="BK270" s="221" cm="1">
        <f t="array" ref="BK270">BK268*INDEX(LoanCohortRate,$A267)</f>
        <v>0</v>
      </c>
    </row>
    <row r="271" spans="1:63" ht="7.8" x14ac:dyDescent="0.15">
      <c r="A271" s="218" t="s">
        <v>177</v>
      </c>
      <c r="B271" s="192"/>
      <c r="C271" s="192"/>
      <c r="D271" s="192"/>
      <c r="E271" s="192"/>
      <c r="F271" s="192"/>
      <c r="G271" s="192"/>
      <c r="H271" s="192"/>
      <c r="I271" s="192"/>
      <c r="J271" s="192"/>
      <c r="K271" s="192"/>
      <c r="L271" s="192"/>
      <c r="M271" s="192"/>
      <c r="N271" s="192"/>
      <c r="O271" s="192"/>
      <c r="P271" s="192"/>
      <c r="Q271" s="192"/>
      <c r="R271" s="192"/>
      <c r="S271" s="192"/>
      <c r="T271" s="192"/>
      <c r="U271" s="192"/>
      <c r="V271" s="192"/>
      <c r="W271" s="192"/>
      <c r="X271" s="192"/>
      <c r="Y271" s="192"/>
      <c r="Z271" s="192"/>
      <c r="AA271" s="192"/>
      <c r="AB271" s="192"/>
      <c r="AC271" s="192"/>
      <c r="AD271" s="192"/>
      <c r="AE271" s="192"/>
      <c r="AF271" s="192"/>
      <c r="AG271" s="219">
        <f>AG269-AG270</f>
        <v>1.2097278774636584</v>
      </c>
      <c r="AH271" s="222">
        <f t="shared" ref="AH271:BK271" si="4141">AH269-AH270</f>
        <v>1.2283778489078898</v>
      </c>
      <c r="AI271" s="222">
        <f t="shared" si="4141"/>
        <v>1.24731534074522</v>
      </c>
      <c r="AJ271" s="222">
        <f t="shared" si="4141"/>
        <v>1.2665447855817087</v>
      </c>
      <c r="AK271" s="222">
        <f t="shared" si="4141"/>
        <v>1.2860706843594267</v>
      </c>
      <c r="AL271" s="222">
        <f t="shared" si="4141"/>
        <v>1.305897607409968</v>
      </c>
      <c r="AM271" s="222">
        <f t="shared" si="4141"/>
        <v>1.3260301955242049</v>
      </c>
      <c r="AN271" s="222">
        <f t="shared" si="4141"/>
        <v>1.3464731610385363</v>
      </c>
      <c r="AO271" s="222">
        <f t="shared" si="4141"/>
        <v>1.3672312889378804</v>
      </c>
      <c r="AP271" s="222">
        <f t="shared" si="4141"/>
        <v>1.3883094379756726</v>
      </c>
      <c r="AQ271" s="222">
        <f t="shared" si="4141"/>
        <v>1.4097125418111309</v>
      </c>
      <c r="AR271" s="222">
        <f t="shared" si="4141"/>
        <v>1.4314456101640527</v>
      </c>
      <c r="AS271" s="222">
        <f t="shared" si="4141"/>
        <v>1.453513729987415</v>
      </c>
      <c r="AT271" s="222">
        <f t="shared" si="4141"/>
        <v>1.4759220666580544</v>
      </c>
      <c r="AU271" s="222">
        <f t="shared" si="4141"/>
        <v>1.4986758651856995</v>
      </c>
      <c r="AV271" s="222">
        <f t="shared" si="4141"/>
        <v>1.5217804514406457</v>
      </c>
      <c r="AW271" s="222">
        <f t="shared" si="4141"/>
        <v>1.5452412334003556</v>
      </c>
      <c r="AX271" s="222">
        <f t="shared" si="4141"/>
        <v>1.5690637024152778</v>
      </c>
      <c r="AY271" s="222">
        <f t="shared" si="4141"/>
        <v>1.59325343449418</v>
      </c>
      <c r="AZ271" s="222">
        <f t="shared" si="4141"/>
        <v>0</v>
      </c>
      <c r="BA271" s="222">
        <f t="shared" si="4141"/>
        <v>0</v>
      </c>
      <c r="BB271" s="222">
        <f t="shared" si="4141"/>
        <v>0</v>
      </c>
      <c r="BC271" s="222">
        <f t="shared" si="4141"/>
        <v>0</v>
      </c>
      <c r="BD271" s="222">
        <f t="shared" si="4141"/>
        <v>0</v>
      </c>
      <c r="BE271" s="222">
        <f t="shared" si="4141"/>
        <v>0</v>
      </c>
      <c r="BF271" s="222">
        <f t="shared" si="4141"/>
        <v>0</v>
      </c>
      <c r="BG271" s="222">
        <f t="shared" si="4141"/>
        <v>0</v>
      </c>
      <c r="BH271" s="222">
        <f t="shared" si="4141"/>
        <v>0</v>
      </c>
      <c r="BI271" s="222">
        <f t="shared" si="4141"/>
        <v>0</v>
      </c>
      <c r="BJ271" s="222">
        <f t="shared" si="4141"/>
        <v>0</v>
      </c>
      <c r="BK271" s="222">
        <f t="shared" si="4141"/>
        <v>0</v>
      </c>
    </row>
    <row r="272" spans="1:63" ht="7.8" x14ac:dyDescent="0.15">
      <c r="A272" s="205" t="s">
        <v>7</v>
      </c>
      <c r="B272" s="192"/>
      <c r="C272" s="192"/>
      <c r="D272" s="192"/>
      <c r="E272" s="192"/>
      <c r="F272" s="192"/>
      <c r="G272" s="192"/>
      <c r="H272" s="192"/>
      <c r="I272" s="192"/>
      <c r="J272" s="192"/>
      <c r="K272" s="192"/>
      <c r="L272" s="192"/>
      <c r="M272" s="192"/>
      <c r="N272" s="192"/>
      <c r="O272" s="192"/>
      <c r="P272" s="192"/>
      <c r="Q272" s="192"/>
      <c r="R272" s="192"/>
      <c r="S272" s="192"/>
      <c r="T272" s="192"/>
      <c r="U272" s="192"/>
      <c r="V272" s="192"/>
      <c r="W272" s="192"/>
      <c r="X272" s="192"/>
      <c r="Y272" s="192"/>
      <c r="Z272" s="192"/>
      <c r="AA272" s="192"/>
      <c r="AB272" s="192"/>
      <c r="AC272" s="192"/>
      <c r="AD272" s="192"/>
      <c r="AE272" s="192"/>
      <c r="AF272" s="192"/>
      <c r="AG272" s="214" cm="1">
        <f t="array" ref="AG272">INDEX(LoanOriginations,$A267)</f>
        <v>115.56219730301909</v>
      </c>
      <c r="AH272" s="199">
        <f t="shared" ref="AH272:BK272" si="4142">AG272*(1-MitigateDelinquency*MitigateChargeoff)  *  IF(AH267=0,0,IF(AH267-102=LoanSaleHeld,0.6,1))</f>
        <v>115.44663510571607</v>
      </c>
      <c r="AI272" s="199">
        <f t="shared" si="4142"/>
        <v>115.33118847061036</v>
      </c>
      <c r="AJ272" s="199">
        <f t="shared" si="4142"/>
        <v>115.21585728213975</v>
      </c>
      <c r="AK272" s="199">
        <f t="shared" si="4142"/>
        <v>69.06038485491456</v>
      </c>
      <c r="AL272" s="199">
        <f t="shared" si="4142"/>
        <v>68.991324470059638</v>
      </c>
      <c r="AM272" s="199">
        <f t="shared" si="4142"/>
        <v>68.922333145589576</v>
      </c>
      <c r="AN272" s="199">
        <f t="shared" si="4142"/>
        <v>68.853410812443983</v>
      </c>
      <c r="AO272" s="199">
        <f t="shared" si="4142"/>
        <v>68.784557401631545</v>
      </c>
      <c r="AP272" s="199">
        <f t="shared" si="4142"/>
        <v>68.715772844229917</v>
      </c>
      <c r="AQ272" s="199">
        <f t="shared" si="4142"/>
        <v>68.647057071385689</v>
      </c>
      <c r="AR272" s="199">
        <f t="shared" si="4142"/>
        <v>68.578410014314301</v>
      </c>
      <c r="AS272" s="199">
        <f t="shared" si="4142"/>
        <v>68.50983160429999</v>
      </c>
      <c r="AT272" s="199">
        <f t="shared" si="4142"/>
        <v>68.441321772695687</v>
      </c>
      <c r="AU272" s="199">
        <f t="shared" si="4142"/>
        <v>68.372880450922992</v>
      </c>
      <c r="AV272" s="199">
        <f t="shared" si="4142"/>
        <v>68.304507570472069</v>
      </c>
      <c r="AW272" s="199">
        <f t="shared" si="4142"/>
        <v>68.236203062901595</v>
      </c>
      <c r="AX272" s="199">
        <f t="shared" si="4142"/>
        <v>68.1679668598387</v>
      </c>
      <c r="AY272" s="199">
        <f t="shared" si="4142"/>
        <v>68.099798892978868</v>
      </c>
      <c r="AZ272" s="199">
        <f t="shared" si="4142"/>
        <v>0</v>
      </c>
      <c r="BA272" s="199">
        <f t="shared" si="4142"/>
        <v>0</v>
      </c>
      <c r="BB272" s="199">
        <f t="shared" si="4142"/>
        <v>0</v>
      </c>
      <c r="BC272" s="199">
        <f t="shared" si="4142"/>
        <v>0</v>
      </c>
      <c r="BD272" s="199">
        <f t="shared" si="4142"/>
        <v>0</v>
      </c>
      <c r="BE272" s="199">
        <f t="shared" si="4142"/>
        <v>0</v>
      </c>
      <c r="BF272" s="199">
        <f t="shared" si="4142"/>
        <v>0</v>
      </c>
      <c r="BG272" s="199">
        <f t="shared" si="4142"/>
        <v>0</v>
      </c>
      <c r="BH272" s="199">
        <f t="shared" si="4142"/>
        <v>0</v>
      </c>
      <c r="BI272" s="199">
        <f t="shared" si="4142"/>
        <v>0</v>
      </c>
      <c r="BJ272" s="199">
        <f t="shared" si="4142"/>
        <v>0</v>
      </c>
      <c r="BK272" s="199">
        <f t="shared" si="4142"/>
        <v>0</v>
      </c>
    </row>
    <row r="273" spans="1:63" ht="7.8" x14ac:dyDescent="0.15">
      <c r="A273" s="207" t="s">
        <v>96</v>
      </c>
      <c r="B273" s="192"/>
      <c r="C273" s="192"/>
      <c r="D273" s="192"/>
      <c r="E273" s="192"/>
      <c r="F273" s="192"/>
      <c r="G273" s="192"/>
      <c r="H273" s="192"/>
      <c r="I273" s="192"/>
      <c r="J273" s="192"/>
      <c r="K273" s="192"/>
      <c r="L273" s="192"/>
      <c r="M273" s="192"/>
      <c r="N273" s="192"/>
      <c r="O273" s="192"/>
      <c r="P273" s="192"/>
      <c r="Q273" s="192"/>
      <c r="R273" s="192"/>
      <c r="S273" s="192"/>
      <c r="T273" s="192"/>
      <c r="U273" s="192"/>
      <c r="V273" s="192"/>
      <c r="W273" s="192"/>
      <c r="X273" s="192"/>
      <c r="Y273" s="192"/>
      <c r="Z273" s="192"/>
      <c r="AA273" s="192"/>
      <c r="AB273" s="192"/>
      <c r="AC273" s="192"/>
      <c r="AD273" s="192"/>
      <c r="AE273" s="192"/>
      <c r="AF273" s="192"/>
      <c r="AG273" s="223">
        <f>AG270*AG272</f>
        <v>44.539596877205277</v>
      </c>
      <c r="AH273" s="200">
        <f t="shared" ref="AH273" si="4143">AH270*AH272</f>
        <v>42.341980832273862</v>
      </c>
      <c r="AI273" s="200">
        <f t="shared" ref="AI273" si="4144">AI270*AI272</f>
        <v>40.115555411189838</v>
      </c>
      <c r="AJ273" s="200">
        <f t="shared" ref="AJ273" si="4145">AJ270*AJ272</f>
        <v>37.859902883882974</v>
      </c>
      <c r="AK273" s="200">
        <f t="shared" ref="AK273" si="4146">AK270*AK272</f>
        <v>21.344759704372141</v>
      </c>
      <c r="AL273" s="200">
        <f t="shared" ref="AL273" si="4147">AL270*AL272</f>
        <v>19.955529263244976</v>
      </c>
      <c r="AM273" s="200">
        <f t="shared" ref="AM273" si="4148">AM270*AM272</f>
        <v>18.547988788889356</v>
      </c>
      <c r="AN273" s="200">
        <f t="shared" ref="AN273" si="4149">AN270*AN272</f>
        <v>17.121872897317573</v>
      </c>
      <c r="AO273" s="200">
        <f t="shared" ref="AO273" si="4150">AO270*AO272</f>
        <v>15.676912384377411</v>
      </c>
      <c r="AP273" s="200">
        <f t="shared" ref="AP273" si="4151">AP270*AP272</f>
        <v>14.212834170735276</v>
      </c>
      <c r="AQ273" s="200">
        <f t="shared" ref="AQ273" si="4152">AQ270*AQ272</f>
        <v>12.729361246067041</v>
      </c>
      <c r="AR273" s="200">
        <f t="shared" ref="AR273" si="4153">AR270*AR272</f>
        <v>11.226212612445197</v>
      </c>
      <c r="AS273" s="200">
        <f t="shared" ref="AS273" si="4154">AS270*AS272</f>
        <v>9.7031032269106738</v>
      </c>
      <c r="AT273" s="200">
        <f t="shared" ref="AT273" si="4155">AT270*AT272</f>
        <v>8.1597439432176415</v>
      </c>
      <c r="AU273" s="200">
        <f t="shared" ref="AU273" si="4156">AU270*AU272</f>
        <v>6.5958414527393643</v>
      </c>
      <c r="AV273" s="200">
        <f t="shared" ref="AV273" si="4157">AV270*AV272</f>
        <v>5.0110982245230273</v>
      </c>
      <c r="AW273" s="200">
        <f t="shared" ref="AW273" si="4158">AW270*AW272</f>
        <v>3.4052124444812772</v>
      </c>
      <c r="AX273" s="200">
        <f t="shared" ref="AX273" si="4159">AX270*AX272</f>
        <v>1.7778779537080487</v>
      </c>
      <c r="AY273" s="200">
        <f t="shared" ref="AY273" si="4160">AY270*AY272</f>
        <v>0.12878418590606147</v>
      </c>
      <c r="AZ273" s="200">
        <f t="shared" ref="AZ273" si="4161">AZ270*AZ272</f>
        <v>0</v>
      </c>
      <c r="BA273" s="200">
        <f t="shared" ref="BA273" si="4162">BA270*BA272</f>
        <v>0</v>
      </c>
      <c r="BB273" s="200">
        <f t="shared" ref="BB273" si="4163">BB270*BB272</f>
        <v>0</v>
      </c>
      <c r="BC273" s="200">
        <f t="shared" ref="BC273" si="4164">BC270*BC272</f>
        <v>0</v>
      </c>
      <c r="BD273" s="200">
        <f t="shared" ref="BD273" si="4165">BD270*BD272</f>
        <v>0</v>
      </c>
      <c r="BE273" s="200">
        <f t="shared" ref="BE273" si="4166">BE270*BE272</f>
        <v>0</v>
      </c>
      <c r="BF273" s="200">
        <f t="shared" ref="BF273" si="4167">BF270*BF272</f>
        <v>0</v>
      </c>
      <c r="BG273" s="200">
        <f t="shared" ref="BG273" si="4168">BG270*BG272</f>
        <v>0</v>
      </c>
      <c r="BH273" s="200">
        <f t="shared" ref="BH273" si="4169">BH270*BH272</f>
        <v>0</v>
      </c>
      <c r="BI273" s="200">
        <f t="shared" ref="BI273" si="4170">BI270*BI272</f>
        <v>0</v>
      </c>
      <c r="BJ273" s="200">
        <f t="shared" ref="BJ273" si="4171">BJ270*BJ272</f>
        <v>0</v>
      </c>
      <c r="BK273" s="200">
        <f t="shared" ref="BK273" si="4172">BK270*BK272</f>
        <v>0</v>
      </c>
    </row>
    <row r="274" spans="1:63" ht="7.8" x14ac:dyDescent="0.15">
      <c r="A274" s="206" t="s">
        <v>97</v>
      </c>
      <c r="B274" s="192"/>
      <c r="C274" s="192"/>
      <c r="D274" s="192"/>
      <c r="E274" s="192"/>
      <c r="F274" s="192"/>
      <c r="G274" s="192"/>
      <c r="H274" s="192"/>
      <c r="I274" s="192"/>
      <c r="J274" s="192"/>
      <c r="K274" s="192"/>
      <c r="L274" s="192"/>
      <c r="M274" s="192"/>
      <c r="N274" s="192"/>
      <c r="O274" s="192"/>
      <c r="P274" s="192"/>
      <c r="Q274" s="192"/>
      <c r="R274" s="192"/>
      <c r="S274" s="192"/>
      <c r="T274" s="192"/>
      <c r="U274" s="192"/>
      <c r="V274" s="192"/>
      <c r="W274" s="192"/>
      <c r="X274" s="192"/>
      <c r="Y274" s="192"/>
      <c r="Z274" s="192"/>
      <c r="AA274" s="192"/>
      <c r="AB274" s="192"/>
      <c r="AC274" s="192"/>
      <c r="AD274" s="192"/>
      <c r="AE274" s="192"/>
      <c r="AF274" s="192"/>
      <c r="AG274" s="223">
        <f>AG271*AG272</f>
        <v>139.7988116584178</v>
      </c>
      <c r="AH274" s="200">
        <f>AH271*AH272</f>
        <v>141.81208929481357</v>
      </c>
      <c r="AI274" s="200">
        <f t="shared" ref="AI274:BK274" si="4173">AI271*AI272</f>
        <v>143.85436064577056</v>
      </c>
      <c r="AJ274" s="200">
        <f t="shared" si="4173"/>
        <v>145.92604325702044</v>
      </c>
      <c r="AK274" s="200">
        <f t="shared" si="4173"/>
        <v>88.816536412485362</v>
      </c>
      <c r="AL274" s="200">
        <f t="shared" si="4173"/>
        <v>90.095605557495659</v>
      </c>
      <c r="AM274" s="200">
        <f t="shared" si="4173"/>
        <v>91.393094897030537</v>
      </c>
      <c r="AN274" s="200">
        <f t="shared" si="4173"/>
        <v>92.70926970491638</v>
      </c>
      <c r="AO274" s="200">
        <f t="shared" si="4173"/>
        <v>94.044399075254319</v>
      </c>
      <c r="AP274" s="200">
        <f t="shared" si="4173"/>
        <v>95.398755977436821</v>
      </c>
      <c r="AQ274" s="200">
        <f t="shared" si="4173"/>
        <v>96.772617311956893</v>
      </c>
      <c r="AR274" s="200">
        <f t="shared" si="4173"/>
        <v>98.166263967020711</v>
      </c>
      <c r="AS274" s="200">
        <f t="shared" si="4173"/>
        <v>99.579980875975764</v>
      </c>
      <c r="AT274" s="200">
        <f t="shared" si="4173"/>
        <v>101.01405707556592</v>
      </c>
      <c r="AU274" s="200">
        <f t="shared" si="4173"/>
        <v>102.46878576502542</v>
      </c>
      <c r="AV274" s="200">
        <f t="shared" si="4173"/>
        <v>103.94446436602398</v>
      </c>
      <c r="AW274" s="200">
        <f t="shared" si="4173"/>
        <v>105.44139458347519</v>
      </c>
      <c r="AX274" s="200">
        <f t="shared" si="4173"/>
        <v>106.95988246722047</v>
      </c>
      <c r="AY274" s="200">
        <f t="shared" si="4173"/>
        <v>108.50023847460153</v>
      </c>
      <c r="AZ274" s="200">
        <f t="shared" si="4173"/>
        <v>0</v>
      </c>
      <c r="BA274" s="200">
        <f t="shared" si="4173"/>
        <v>0</v>
      </c>
      <c r="BB274" s="200">
        <f t="shared" si="4173"/>
        <v>0</v>
      </c>
      <c r="BC274" s="200">
        <f t="shared" si="4173"/>
        <v>0</v>
      </c>
      <c r="BD274" s="200">
        <f t="shared" si="4173"/>
        <v>0</v>
      </c>
      <c r="BE274" s="200">
        <f t="shared" si="4173"/>
        <v>0</v>
      </c>
      <c r="BF274" s="200">
        <f t="shared" si="4173"/>
        <v>0</v>
      </c>
      <c r="BG274" s="200">
        <f t="shared" si="4173"/>
        <v>0</v>
      </c>
      <c r="BH274" s="200">
        <f t="shared" si="4173"/>
        <v>0</v>
      </c>
      <c r="BI274" s="200">
        <f t="shared" si="4173"/>
        <v>0</v>
      </c>
      <c r="BJ274" s="200">
        <f t="shared" si="4173"/>
        <v>0</v>
      </c>
      <c r="BK274" s="200">
        <f t="shared" si="4173"/>
        <v>0</v>
      </c>
    </row>
    <row r="275" spans="1:63" ht="7.8" x14ac:dyDescent="0.15">
      <c r="A275" s="208" t="s">
        <v>203</v>
      </c>
      <c r="B275" s="192"/>
      <c r="C275" s="192"/>
      <c r="D275" s="192"/>
      <c r="E275" s="192"/>
      <c r="F275" s="192"/>
      <c r="G275" s="192"/>
      <c r="H275" s="192"/>
      <c r="I275" s="192"/>
      <c r="J275" s="192"/>
      <c r="K275" s="192"/>
      <c r="L275" s="192"/>
      <c r="M275" s="192"/>
      <c r="N275" s="192"/>
      <c r="O275" s="192"/>
      <c r="P275" s="192"/>
      <c r="Q275" s="192"/>
      <c r="R275" s="192"/>
      <c r="S275" s="192"/>
      <c r="T275" s="192"/>
      <c r="U275" s="192"/>
      <c r="V275" s="192"/>
      <c r="W275" s="192"/>
      <c r="X275" s="192"/>
      <c r="Y275" s="192"/>
      <c r="Z275" s="192"/>
      <c r="AA275" s="192"/>
      <c r="AB275" s="192"/>
      <c r="AC275" s="192"/>
      <c r="AD275" s="192"/>
      <c r="AE275" s="192"/>
      <c r="AF275" s="192"/>
      <c r="AG275" s="224">
        <f>IF(AG267-101&lt;&gt;LoanSaleHeld,0,SUM($D274:AG274)*LoanSalePercent)</f>
        <v>0</v>
      </c>
      <c r="AH275" s="225">
        <f>IF(AH267-101&lt;&gt;LoanSaleHeld,0,SUM($D274:AH274)*LoanSalePercent)</f>
        <v>0</v>
      </c>
      <c r="AI275" s="225">
        <f>IF(AI267-101&lt;&gt;LoanSaleHeld,0,SUM($D274:AI274)*LoanSalePercent)</f>
        <v>0</v>
      </c>
      <c r="AJ275" s="225">
        <f>IF(AJ267-101&lt;&gt;LoanSaleHeld,0,SUM($D274:AJ274)*LoanSalePercent)</f>
        <v>228.55652194240898</v>
      </c>
      <c r="AK275" s="225">
        <f>IF(AK267-101&lt;&gt;LoanSaleHeld,0,SUM($D274:AK274)*LoanSalePercent)</f>
        <v>0</v>
      </c>
      <c r="AL275" s="225">
        <f>IF(AL267-101&lt;&gt;LoanSaleHeld,0,SUM($D274:AL274)*LoanSalePercent)</f>
        <v>0</v>
      </c>
      <c r="AM275" s="225">
        <f>IF(AM267-101&lt;&gt;LoanSaleHeld,0,SUM($D274:AM274)*LoanSalePercent)</f>
        <v>0</v>
      </c>
      <c r="AN275" s="225">
        <f>IF(AN267-101&lt;&gt;LoanSaleHeld,0,SUM($D274:AN274)*LoanSalePercent)</f>
        <v>0</v>
      </c>
      <c r="AO275" s="225">
        <f>IF(AO267-101&lt;&gt;LoanSaleHeld,0,SUM($D274:AO274)*LoanSalePercent)</f>
        <v>0</v>
      </c>
      <c r="AP275" s="225">
        <f>IF(AP267-101&lt;&gt;LoanSaleHeld,0,SUM($D274:AP274)*LoanSalePercent)</f>
        <v>0</v>
      </c>
      <c r="AQ275" s="225">
        <f>IF(AQ267-101&lt;&gt;LoanSaleHeld,0,SUM($D274:AQ274)*LoanSalePercent)</f>
        <v>0</v>
      </c>
      <c r="AR275" s="225">
        <f>IF(AR267-101&lt;&gt;LoanSaleHeld,0,SUM($D274:AR274)*LoanSalePercent)</f>
        <v>0</v>
      </c>
      <c r="AS275" s="225">
        <f>IF(AS267-101&lt;&gt;LoanSaleHeld,0,SUM($D274:AS274)*LoanSalePercent)</f>
        <v>0</v>
      </c>
      <c r="AT275" s="225">
        <f>IF(AT267-101&lt;&gt;LoanSaleHeld,0,SUM($D274:AT274)*LoanSalePercent)</f>
        <v>0</v>
      </c>
      <c r="AU275" s="225">
        <f>IF(AU267-101&lt;&gt;LoanSaleHeld,0,SUM($D274:AU274)*LoanSalePercent)</f>
        <v>0</v>
      </c>
      <c r="AV275" s="225">
        <f>IF(AV267-101&lt;&gt;LoanSaleHeld,0,SUM($D274:AV274)*LoanSalePercent)</f>
        <v>0</v>
      </c>
      <c r="AW275" s="225">
        <f>IF(AW267-101&lt;&gt;LoanSaleHeld,0,SUM($D274:AW274)*LoanSalePercent)</f>
        <v>0</v>
      </c>
      <c r="AX275" s="225">
        <f>IF(AX267-101&lt;&gt;LoanSaleHeld,0,SUM($D274:AX274)*LoanSalePercent)</f>
        <v>0</v>
      </c>
      <c r="AY275" s="225">
        <f>IF(AY267-101&lt;&gt;LoanSaleHeld,0,SUM($D274:AY274)*LoanSalePercent)</f>
        <v>0</v>
      </c>
      <c r="AZ275" s="225">
        <f>IF(AZ267-101&lt;&gt;LoanSaleHeld,0,SUM($D274:AZ274)*LoanSalePercent)</f>
        <v>0</v>
      </c>
      <c r="BA275" s="225">
        <f>IF(BA267-101&lt;&gt;LoanSaleHeld,0,SUM($D274:BA274)*LoanSalePercent)</f>
        <v>0</v>
      </c>
      <c r="BB275" s="225">
        <f>IF(BB267-101&lt;&gt;LoanSaleHeld,0,SUM($D274:BB274)*LoanSalePercent)</f>
        <v>0</v>
      </c>
      <c r="BC275" s="225">
        <f>IF(BC267-101&lt;&gt;LoanSaleHeld,0,SUM($D274:BC274)*LoanSalePercent)</f>
        <v>0</v>
      </c>
      <c r="BD275" s="225">
        <f>IF(BD267-101&lt;&gt;LoanSaleHeld,0,SUM($D274:BD274)*LoanSalePercent)</f>
        <v>0</v>
      </c>
      <c r="BE275" s="225">
        <f>IF(BE267-101&lt;&gt;LoanSaleHeld,0,SUM($D274:BE274)*LoanSalePercent)</f>
        <v>0</v>
      </c>
      <c r="BF275" s="225">
        <f>IF(BF267-101&lt;&gt;LoanSaleHeld,0,SUM($D274:BF274)*LoanSalePercent)</f>
        <v>0</v>
      </c>
      <c r="BG275" s="225">
        <f>IF(BG267-101&lt;&gt;LoanSaleHeld,0,SUM($D274:BG274)*LoanSalePercent)</f>
        <v>0</v>
      </c>
      <c r="BH275" s="225">
        <f>IF(BH267-101&lt;&gt;LoanSaleHeld,0,SUM($D274:BH274)*LoanSalePercent)</f>
        <v>0</v>
      </c>
      <c r="BI275" s="225">
        <f>IF(BI267-101&lt;&gt;LoanSaleHeld,0,SUM($D274:BI274)*LoanSalePercent)</f>
        <v>0</v>
      </c>
      <c r="BJ275" s="225">
        <f>IF(BJ267-101&lt;&gt;LoanSaleHeld,0,SUM($D274:BJ274)*LoanSalePercent)</f>
        <v>0</v>
      </c>
      <c r="BK275" s="225">
        <f>IF(BK267-101&lt;&gt;LoanSaleHeld,0,SUM($D274:BK274)*LoanSalePercent)</f>
        <v>0</v>
      </c>
    </row>
    <row r="276" spans="1:63" ht="7.8" x14ac:dyDescent="0.15">
      <c r="A276" s="204">
        <f t="shared" ref="A276" si="4174">A267+1</f>
        <v>31</v>
      </c>
      <c r="B276" s="192"/>
      <c r="C276" s="192"/>
      <c r="D276" s="192"/>
      <c r="E276" s="192"/>
      <c r="F276" s="192"/>
      <c r="G276" s="192"/>
      <c r="H276" s="192"/>
      <c r="I276" s="192"/>
      <c r="J276" s="192"/>
      <c r="K276" s="192"/>
      <c r="L276" s="192"/>
      <c r="M276" s="192"/>
      <c r="N276" s="192"/>
      <c r="O276" s="192"/>
      <c r="P276" s="192"/>
      <c r="Q276" s="192"/>
      <c r="R276" s="192"/>
      <c r="S276" s="192"/>
      <c r="T276" s="192"/>
      <c r="U276" s="192"/>
      <c r="V276" s="192"/>
      <c r="W276" s="192"/>
      <c r="X276" s="192"/>
      <c r="Y276" s="192"/>
      <c r="Z276" s="192"/>
      <c r="AA276" s="192"/>
      <c r="AB276" s="192"/>
      <c r="AC276" s="192"/>
      <c r="AD276" s="192"/>
      <c r="AE276" s="192"/>
      <c r="AF276" s="192"/>
      <c r="AG276" s="192"/>
      <c r="AH276" s="195">
        <v>101</v>
      </c>
      <c r="AI276" s="196">
        <f t="shared" ref="AI276" si="4175">IF(AI277=0,0,AH276+1)</f>
        <v>102</v>
      </c>
      <c r="AJ276" s="196">
        <f t="shared" ref="AJ276" si="4176">IF(AJ277=0,0,AI276+1)</f>
        <v>103</v>
      </c>
      <c r="AK276" s="196">
        <f t="shared" ref="AK276" si="4177">IF(AK277=0,0,AJ276+1)</f>
        <v>104</v>
      </c>
      <c r="AL276" s="196">
        <f t="shared" ref="AL276" si="4178">IF(AL277=0,0,AK276+1)</f>
        <v>105</v>
      </c>
      <c r="AM276" s="196">
        <f t="shared" ref="AM276" si="4179">IF(AM277=0,0,AL276+1)</f>
        <v>106</v>
      </c>
      <c r="AN276" s="196">
        <f t="shared" ref="AN276" si="4180">IF(AN277=0,0,AM276+1)</f>
        <v>107</v>
      </c>
      <c r="AO276" s="196">
        <f t="shared" ref="AO276" si="4181">IF(AO277=0,0,AN276+1)</f>
        <v>108</v>
      </c>
      <c r="AP276" s="196">
        <f t="shared" ref="AP276" si="4182">IF(AP277=0,0,AO276+1)</f>
        <v>109</v>
      </c>
      <c r="AQ276" s="196">
        <f t="shared" ref="AQ276" si="4183">IF(AQ277=0,0,AP276+1)</f>
        <v>110</v>
      </c>
      <c r="AR276" s="196">
        <f t="shared" ref="AR276" si="4184">IF(AR277=0,0,AQ276+1)</f>
        <v>111</v>
      </c>
      <c r="AS276" s="196">
        <f t="shared" ref="AS276" si="4185">IF(AS277=0,0,AR276+1)</f>
        <v>112</v>
      </c>
      <c r="AT276" s="196">
        <f t="shared" ref="AT276" si="4186">IF(AT277=0,0,AS276+1)</f>
        <v>113</v>
      </c>
      <c r="AU276" s="196">
        <f t="shared" ref="AU276" si="4187">IF(AU277=0,0,AT276+1)</f>
        <v>114</v>
      </c>
      <c r="AV276" s="196">
        <f t="shared" ref="AV276" si="4188">IF(AV277=0,0,AU276+1)</f>
        <v>115</v>
      </c>
      <c r="AW276" s="196">
        <f t="shared" ref="AW276" si="4189">IF(AW277=0,0,AV276+1)</f>
        <v>116</v>
      </c>
      <c r="AX276" s="196">
        <f t="shared" ref="AX276" si="4190">IF(AX277=0,0,AW276+1)</f>
        <v>117</v>
      </c>
      <c r="AY276" s="196">
        <f t="shared" ref="AY276" si="4191">IF(AY277=0,0,AX276+1)</f>
        <v>118</v>
      </c>
      <c r="AZ276" s="196">
        <f t="shared" ref="AZ276" si="4192">IF(AZ277=0,0,AY276+1)</f>
        <v>119</v>
      </c>
      <c r="BA276" s="196">
        <f t="shared" ref="BA276" si="4193">IF(BA277=0,0,AZ276+1)</f>
        <v>0</v>
      </c>
      <c r="BB276" s="196">
        <f t="shared" ref="BB276" si="4194">IF(BB277=0,0,BA276+1)</f>
        <v>0</v>
      </c>
      <c r="BC276" s="196">
        <f t="shared" ref="BC276" si="4195">IF(BC277=0,0,BB276+1)</f>
        <v>0</v>
      </c>
      <c r="BD276" s="196">
        <f t="shared" ref="BD276" si="4196">IF(BD277=0,0,BC276+1)</f>
        <v>0</v>
      </c>
      <c r="BE276" s="196">
        <f t="shared" ref="BE276" si="4197">IF(BE277=0,0,BD276+1)</f>
        <v>0</v>
      </c>
      <c r="BF276" s="196">
        <f t="shared" ref="BF276" si="4198">IF(BF277=0,0,BE276+1)</f>
        <v>0</v>
      </c>
      <c r="BG276" s="196">
        <f t="shared" ref="BG276" si="4199">IF(BG277=0,0,BF276+1)</f>
        <v>0</v>
      </c>
      <c r="BH276" s="196">
        <f t="shared" ref="BH276" si="4200">IF(BH277=0,0,BG276+1)</f>
        <v>0</v>
      </c>
      <c r="BI276" s="196">
        <f t="shared" ref="BI276" si="4201">IF(BI277=0,0,BH276+1)</f>
        <v>0</v>
      </c>
      <c r="BJ276" s="196">
        <f t="shared" ref="BJ276" si="4202">IF(BJ277=0,0,BI276+1)</f>
        <v>0</v>
      </c>
      <c r="BK276" s="196">
        <f t="shared" ref="BK276" si="4203">IF(BK277=0,0,BJ276+1)</f>
        <v>0</v>
      </c>
    </row>
    <row r="277" spans="1:63" ht="7.8" x14ac:dyDescent="0.15">
      <c r="A277" s="216" t="s">
        <v>178</v>
      </c>
      <c r="B277" s="192"/>
      <c r="C277" s="192"/>
      <c r="D277" s="192"/>
      <c r="E277" s="192"/>
      <c r="F277" s="192"/>
      <c r="G277" s="192"/>
      <c r="H277" s="192"/>
      <c r="I277" s="192"/>
      <c r="J277" s="192"/>
      <c r="K277" s="192"/>
      <c r="L277" s="192"/>
      <c r="M277" s="192"/>
      <c r="N277" s="192"/>
      <c r="O277" s="192"/>
      <c r="P277" s="192"/>
      <c r="Q277" s="192"/>
      <c r="R277" s="192"/>
      <c r="S277" s="192"/>
      <c r="T277" s="192"/>
      <c r="U277" s="192"/>
      <c r="V277" s="192"/>
      <c r="W277" s="192"/>
      <c r="X277" s="192"/>
      <c r="Y277" s="192"/>
      <c r="Z277" s="192"/>
      <c r="AA277" s="192"/>
      <c r="AB277" s="192"/>
      <c r="AC277" s="192"/>
      <c r="AD277" s="192"/>
      <c r="AE277" s="192"/>
      <c r="AF277" s="192"/>
      <c r="AG277" s="192"/>
      <c r="AH277" s="217">
        <f>LoanSize</f>
        <v>25</v>
      </c>
      <c r="AI277" s="215">
        <f>IF(AH277-AH280&lt;=0.1,0,AH277-AH280)</f>
        <v>23.79027212253634</v>
      </c>
      <c r="AJ277" s="215">
        <f t="shared" ref="AJ277:BK277" si="4204">IF(AI277-AI280&lt;=0.1,0,AI277-AI280)</f>
        <v>22.56189427362845</v>
      </c>
      <c r="AK277" s="215">
        <f t="shared" si="4204"/>
        <v>21.314578932883229</v>
      </c>
      <c r="AL277" s="215">
        <f t="shared" si="4204"/>
        <v>20.048034147301522</v>
      </c>
      <c r="AM277" s="215">
        <f t="shared" si="4204"/>
        <v>18.761963462942095</v>
      </c>
      <c r="AN277" s="215">
        <f t="shared" si="4204"/>
        <v>17.456065855532128</v>
      </c>
      <c r="AO277" s="215">
        <f t="shared" si="4204"/>
        <v>16.130035660007923</v>
      </c>
      <c r="AP277" s="215">
        <f t="shared" si="4204"/>
        <v>14.783562498969387</v>
      </c>
      <c r="AQ277" s="215">
        <f t="shared" si="4204"/>
        <v>13.416331210031506</v>
      </c>
      <c r="AR277" s="215">
        <f t="shared" si="4204"/>
        <v>12.028021772055833</v>
      </c>
      <c r="AS277" s="215">
        <f t="shared" si="4204"/>
        <v>10.618309230244702</v>
      </c>
      <c r="AT277" s="215">
        <f t="shared" si="4204"/>
        <v>9.1868636200806488</v>
      </c>
      <c r="AU277" s="215">
        <f t="shared" si="4204"/>
        <v>7.7333498900932334</v>
      </c>
      <c r="AV277" s="215">
        <f t="shared" si="4204"/>
        <v>6.2574278234351794</v>
      </c>
      <c r="AW277" s="215">
        <f t="shared" si="4204"/>
        <v>4.7587519582494799</v>
      </c>
      <c r="AX277" s="215">
        <f t="shared" si="4204"/>
        <v>3.2369715068088345</v>
      </c>
      <c r="AY277" s="215">
        <f t="shared" si="4204"/>
        <v>1.6917302734084789</v>
      </c>
      <c r="AZ277" s="215">
        <f t="shared" si="4204"/>
        <v>0.12266657099320111</v>
      </c>
      <c r="BA277" s="215">
        <f t="shared" si="4204"/>
        <v>0</v>
      </c>
      <c r="BB277" s="215">
        <f t="shared" si="4204"/>
        <v>0</v>
      </c>
      <c r="BC277" s="215">
        <f t="shared" si="4204"/>
        <v>0</v>
      </c>
      <c r="BD277" s="215">
        <f t="shared" si="4204"/>
        <v>0</v>
      </c>
      <c r="BE277" s="215">
        <f t="shared" si="4204"/>
        <v>0</v>
      </c>
      <c r="BF277" s="215">
        <f t="shared" si="4204"/>
        <v>0</v>
      </c>
      <c r="BG277" s="215">
        <f t="shared" si="4204"/>
        <v>0</v>
      </c>
      <c r="BH277" s="215">
        <f t="shared" si="4204"/>
        <v>0</v>
      </c>
      <c r="BI277" s="215">
        <f t="shared" si="4204"/>
        <v>0</v>
      </c>
      <c r="BJ277" s="215">
        <f t="shared" si="4204"/>
        <v>0</v>
      </c>
      <c r="BK277" s="215">
        <f t="shared" si="4204"/>
        <v>0</v>
      </c>
    </row>
    <row r="278" spans="1:63" ht="7.8" x14ac:dyDescent="0.15">
      <c r="A278" s="218" t="s">
        <v>179</v>
      </c>
      <c r="B278" s="192"/>
      <c r="C278" s="192"/>
      <c r="D278" s="192"/>
      <c r="E278" s="192"/>
      <c r="F278" s="192"/>
      <c r="G278" s="192"/>
      <c r="H278" s="192"/>
      <c r="I278" s="192"/>
      <c r="J278" s="192"/>
      <c r="K278" s="192"/>
      <c r="L278" s="192"/>
      <c r="M278" s="192"/>
      <c r="N278" s="192"/>
      <c r="O278" s="192"/>
      <c r="P278" s="192"/>
      <c r="Q278" s="192"/>
      <c r="R278" s="192"/>
      <c r="S278" s="192"/>
      <c r="T278" s="192"/>
      <c r="U278" s="192"/>
      <c r="V278" s="192"/>
      <c r="W278" s="192"/>
      <c r="X278" s="192"/>
      <c r="Y278" s="192"/>
      <c r="Z278" s="192"/>
      <c r="AA278" s="192"/>
      <c r="AB278" s="192"/>
      <c r="AC278" s="192"/>
      <c r="AD278" s="192"/>
      <c r="AE278" s="192"/>
      <c r="AF278" s="192"/>
      <c r="AG278" s="192"/>
      <c r="AH278" s="219">
        <f>IF(AH277=0,0,PMT(INDEX(LoanCohortRate,1),LoanTerm, -LoanSize))</f>
        <v>1.5951445441303251</v>
      </c>
      <c r="AI278" s="222">
        <f t="shared" ref="AI278" si="4205">IF(AI277=0,0, AH278)</f>
        <v>1.5951445441303251</v>
      </c>
      <c r="AJ278" s="222">
        <f t="shared" ref="AJ278" si="4206">IF(AJ277=0,0, AI278)</f>
        <v>1.5951445441303251</v>
      </c>
      <c r="AK278" s="222">
        <f t="shared" ref="AK278" si="4207">IF(AK277=0,0, AJ278)</f>
        <v>1.5951445441303251</v>
      </c>
      <c r="AL278" s="222">
        <f t="shared" ref="AL278" si="4208">IF(AL277=0,0, AK278)</f>
        <v>1.5951445441303251</v>
      </c>
      <c r="AM278" s="222">
        <f t="shared" ref="AM278" si="4209">IF(AM277=0,0, AL278)</f>
        <v>1.5951445441303251</v>
      </c>
      <c r="AN278" s="222">
        <f t="shared" ref="AN278" si="4210">IF(AN277=0,0, AM278)</f>
        <v>1.5951445441303251</v>
      </c>
      <c r="AO278" s="222">
        <f t="shared" ref="AO278" si="4211">IF(AO277=0,0, AN278)</f>
        <v>1.5951445441303251</v>
      </c>
      <c r="AP278" s="222">
        <f t="shared" ref="AP278" si="4212">IF(AP277=0,0, AO278)</f>
        <v>1.5951445441303251</v>
      </c>
      <c r="AQ278" s="222">
        <f t="shared" ref="AQ278" si="4213">IF(AQ277=0,0, AP278)</f>
        <v>1.5951445441303251</v>
      </c>
      <c r="AR278" s="222">
        <f t="shared" ref="AR278" si="4214">IF(AR277=0,0, AQ278)</f>
        <v>1.5951445441303251</v>
      </c>
      <c r="AS278" s="222">
        <f t="shared" ref="AS278" si="4215">IF(AS277=0,0, AR278)</f>
        <v>1.5951445441303251</v>
      </c>
      <c r="AT278" s="222">
        <f t="shared" ref="AT278" si="4216">IF(AT277=0,0, AS278)</f>
        <v>1.5951445441303251</v>
      </c>
      <c r="AU278" s="222">
        <f t="shared" ref="AU278" si="4217">IF(AU277=0,0, AT278)</f>
        <v>1.5951445441303251</v>
      </c>
      <c r="AV278" s="222">
        <f t="shared" ref="AV278" si="4218">IF(AV277=0,0, AU278)</f>
        <v>1.5951445441303251</v>
      </c>
      <c r="AW278" s="222">
        <f t="shared" ref="AW278" si="4219">IF(AW277=0,0, AV278)</f>
        <v>1.5951445441303251</v>
      </c>
      <c r="AX278" s="222">
        <f t="shared" ref="AX278" si="4220">IF(AX277=0,0, AW278)</f>
        <v>1.5951445441303251</v>
      </c>
      <c r="AY278" s="222">
        <f t="shared" ref="AY278" si="4221">IF(AY277=0,0, AX278)</f>
        <v>1.5951445441303251</v>
      </c>
      <c r="AZ278" s="222">
        <f t="shared" ref="AZ278" si="4222">IF(AZ277=0,0, AY278)</f>
        <v>1.5951445441303251</v>
      </c>
      <c r="BA278" s="222">
        <f t="shared" ref="BA278" si="4223">IF(BA277=0,0, AZ278)</f>
        <v>0</v>
      </c>
      <c r="BB278" s="222">
        <f t="shared" ref="BB278" si="4224">IF(BB277=0,0, BA278)</f>
        <v>0</v>
      </c>
      <c r="BC278" s="222">
        <f t="shared" ref="BC278" si="4225">IF(BC277=0,0, BB278)</f>
        <v>0</v>
      </c>
      <c r="BD278" s="222">
        <f t="shared" ref="BD278" si="4226">IF(BD277=0,0, BC278)</f>
        <v>0</v>
      </c>
      <c r="BE278" s="222">
        <f t="shared" ref="BE278" si="4227">IF(BE277=0,0, BD278)</f>
        <v>0</v>
      </c>
      <c r="BF278" s="222">
        <f t="shared" ref="BF278" si="4228">IF(BF277=0,0, BE278)</f>
        <v>0</v>
      </c>
      <c r="BG278" s="222">
        <f t="shared" ref="BG278" si="4229">IF(BG277=0,0, BF278)</f>
        <v>0</v>
      </c>
      <c r="BH278" s="222">
        <f t="shared" ref="BH278" si="4230">IF(BH277=0,0, BG278)</f>
        <v>0</v>
      </c>
      <c r="BI278" s="222">
        <f t="shared" ref="BI278" si="4231">IF(BI277=0,0, BH278)</f>
        <v>0</v>
      </c>
      <c r="BJ278" s="222">
        <f t="shared" ref="BJ278" si="4232">IF(BJ277=0,0, BI278)</f>
        <v>0</v>
      </c>
      <c r="BK278" s="222">
        <f t="shared" ref="BK278" si="4233">IF(BK277=0,0, BJ278)</f>
        <v>0</v>
      </c>
    </row>
    <row r="279" spans="1:63" ht="7.8" x14ac:dyDescent="0.15">
      <c r="A279" s="218" t="s">
        <v>180</v>
      </c>
      <c r="B279" s="192"/>
      <c r="C279" s="192"/>
      <c r="D279" s="192"/>
      <c r="E279" s="192"/>
      <c r="F279" s="192"/>
      <c r="G279" s="192"/>
      <c r="H279" s="192"/>
      <c r="I279" s="192"/>
      <c r="J279" s="192"/>
      <c r="K279" s="192"/>
      <c r="L279" s="192"/>
      <c r="M279" s="192"/>
      <c r="N279" s="192"/>
      <c r="O279" s="192"/>
      <c r="P279" s="192"/>
      <c r="Q279" s="192"/>
      <c r="R279" s="192"/>
      <c r="S279" s="192"/>
      <c r="T279" s="192"/>
      <c r="U279" s="192"/>
      <c r="V279" s="192"/>
      <c r="W279" s="192"/>
      <c r="X279" s="192"/>
      <c r="Y279" s="192"/>
      <c r="Z279" s="192"/>
      <c r="AA279" s="192"/>
      <c r="AB279" s="192"/>
      <c r="AC279" s="192"/>
      <c r="AD279" s="192"/>
      <c r="AE279" s="192"/>
      <c r="AF279" s="192"/>
      <c r="AG279" s="192"/>
      <c r="AH279" s="220" cm="1">
        <f t="array" ref="AH279">AH277*INDEX(LoanCohortRate,$A276)</f>
        <v>0.38541666666666669</v>
      </c>
      <c r="AI279" s="221" cm="1">
        <f t="array" ref="AI279">AI277*INDEX(LoanCohortRate,$A276)</f>
        <v>0.36676669522243527</v>
      </c>
      <c r="AJ279" s="221" cm="1">
        <f t="array" ref="AJ279">AJ277*INDEX(LoanCohortRate,$A276)</f>
        <v>0.34782920338510526</v>
      </c>
      <c r="AK279" s="221" cm="1">
        <f t="array" ref="AK279">AK277*INDEX(LoanCohortRate,$A276)</f>
        <v>0.32859975854861645</v>
      </c>
      <c r="AL279" s="221" cm="1">
        <f t="array" ref="AL279">AL277*INDEX(LoanCohortRate,$A276)</f>
        <v>0.30907385977089846</v>
      </c>
      <c r="AM279" s="221" cm="1">
        <f t="array" ref="AM279">AM277*INDEX(LoanCohortRate,$A276)</f>
        <v>0.28924693672035728</v>
      </c>
      <c r="AN279" s="221" cm="1">
        <f t="array" ref="AN279">AN277*INDEX(LoanCohortRate,$A276)</f>
        <v>0.26911434860612032</v>
      </c>
      <c r="AO279" s="221" cm="1">
        <f t="array" ref="AO279">AO277*INDEX(LoanCohortRate,$A276)</f>
        <v>0.24867138309178882</v>
      </c>
      <c r="AP279" s="221" cm="1">
        <f t="array" ref="AP279">AP277*INDEX(LoanCohortRate,$A276)</f>
        <v>0.22791325519244471</v>
      </c>
      <c r="AQ279" s="221" cm="1">
        <f t="array" ref="AQ279">AQ277*INDEX(LoanCohortRate,$A276)</f>
        <v>0.20683510615465239</v>
      </c>
      <c r="AR279" s="221" cm="1">
        <f t="array" ref="AR279">AR277*INDEX(LoanCohortRate,$A276)</f>
        <v>0.1854320023191941</v>
      </c>
      <c r="AS279" s="221" cm="1">
        <f t="array" ref="AS279">AS277*INDEX(LoanCohortRate,$A276)</f>
        <v>0.1636989339662725</v>
      </c>
      <c r="AT279" s="221" cm="1">
        <f t="array" ref="AT279">AT277*INDEX(LoanCohortRate,$A276)</f>
        <v>0.14163081414291001</v>
      </c>
      <c r="AU279" s="221" cm="1">
        <f t="array" ref="AU279">AU277*INDEX(LoanCohortRate,$A276)</f>
        <v>0.11922247747227069</v>
      </c>
      <c r="AV279" s="221" cm="1">
        <f t="array" ref="AV279">AV277*INDEX(LoanCohortRate,$A276)</f>
        <v>9.6468678944625685E-2</v>
      </c>
      <c r="AW279" s="221" cm="1">
        <f t="array" ref="AW279">AW277*INDEX(LoanCohortRate,$A276)</f>
        <v>7.3364092689679486E-2</v>
      </c>
      <c r="AX279" s="221" cm="1">
        <f t="array" ref="AX279">AX277*INDEX(LoanCohortRate,$A276)</f>
        <v>4.9903310729969536E-2</v>
      </c>
      <c r="AY279" s="221" cm="1">
        <f t="array" ref="AY279">AY277*INDEX(LoanCohortRate,$A276)</f>
        <v>2.6080841715047383E-2</v>
      </c>
      <c r="AZ279" s="221" cm="1">
        <f t="array" ref="AZ279">AZ277*INDEX(LoanCohortRate,$A276)</f>
        <v>1.8911096361451838E-3</v>
      </c>
      <c r="BA279" s="221" cm="1">
        <f t="array" ref="BA279">BA277*INDEX(LoanCohortRate,$A276)</f>
        <v>0</v>
      </c>
      <c r="BB279" s="221" cm="1">
        <f t="array" ref="BB279">BB277*INDEX(LoanCohortRate,$A276)</f>
        <v>0</v>
      </c>
      <c r="BC279" s="221" cm="1">
        <f t="array" ref="BC279">BC277*INDEX(LoanCohortRate,$A276)</f>
        <v>0</v>
      </c>
      <c r="BD279" s="221" cm="1">
        <f t="array" ref="BD279">BD277*INDEX(LoanCohortRate,$A276)</f>
        <v>0</v>
      </c>
      <c r="BE279" s="221" cm="1">
        <f t="array" ref="BE279">BE277*INDEX(LoanCohortRate,$A276)</f>
        <v>0</v>
      </c>
      <c r="BF279" s="221" cm="1">
        <f t="array" ref="BF279">BF277*INDEX(LoanCohortRate,$A276)</f>
        <v>0</v>
      </c>
      <c r="BG279" s="221" cm="1">
        <f t="array" ref="BG279">BG277*INDEX(LoanCohortRate,$A276)</f>
        <v>0</v>
      </c>
      <c r="BH279" s="221" cm="1">
        <f t="array" ref="BH279">BH277*INDEX(LoanCohortRate,$A276)</f>
        <v>0</v>
      </c>
      <c r="BI279" s="221" cm="1">
        <f t="array" ref="BI279">BI277*INDEX(LoanCohortRate,$A276)</f>
        <v>0</v>
      </c>
      <c r="BJ279" s="221" cm="1">
        <f t="array" ref="BJ279">BJ277*INDEX(LoanCohortRate,$A276)</f>
        <v>0</v>
      </c>
      <c r="BK279" s="221" cm="1">
        <f t="array" ref="BK279">BK277*INDEX(LoanCohortRate,$A276)</f>
        <v>0</v>
      </c>
    </row>
    <row r="280" spans="1:63" ht="7.8" x14ac:dyDescent="0.15">
      <c r="A280" s="218" t="s">
        <v>177</v>
      </c>
      <c r="B280" s="192"/>
      <c r="C280" s="192"/>
      <c r="D280" s="192"/>
      <c r="E280" s="192"/>
      <c r="F280" s="192"/>
      <c r="G280" s="192"/>
      <c r="H280" s="192"/>
      <c r="I280" s="192"/>
      <c r="J280" s="192"/>
      <c r="K280" s="192"/>
      <c r="L280" s="192"/>
      <c r="M280" s="192"/>
      <c r="N280" s="192"/>
      <c r="O280" s="192"/>
      <c r="P280" s="192"/>
      <c r="Q280" s="192"/>
      <c r="R280" s="192"/>
      <c r="S280" s="192"/>
      <c r="T280" s="192"/>
      <c r="U280" s="192"/>
      <c r="V280" s="192"/>
      <c r="W280" s="192"/>
      <c r="X280" s="192"/>
      <c r="Y280" s="192"/>
      <c r="Z280" s="192"/>
      <c r="AA280" s="192"/>
      <c r="AB280" s="192"/>
      <c r="AC280" s="192"/>
      <c r="AD280" s="192"/>
      <c r="AE280" s="192"/>
      <c r="AF280" s="192"/>
      <c r="AG280" s="192"/>
      <c r="AH280" s="219">
        <f>AH278-AH279</f>
        <v>1.2097278774636584</v>
      </c>
      <c r="AI280" s="222">
        <f t="shared" ref="AI280:BK280" si="4234">AI278-AI279</f>
        <v>1.2283778489078898</v>
      </c>
      <c r="AJ280" s="222">
        <f t="shared" si="4234"/>
        <v>1.24731534074522</v>
      </c>
      <c r="AK280" s="222">
        <f t="shared" si="4234"/>
        <v>1.2665447855817087</v>
      </c>
      <c r="AL280" s="222">
        <f t="shared" si="4234"/>
        <v>1.2860706843594267</v>
      </c>
      <c r="AM280" s="222">
        <f t="shared" si="4234"/>
        <v>1.305897607409968</v>
      </c>
      <c r="AN280" s="222">
        <f t="shared" si="4234"/>
        <v>1.3260301955242049</v>
      </c>
      <c r="AO280" s="222">
        <f t="shared" si="4234"/>
        <v>1.3464731610385363</v>
      </c>
      <c r="AP280" s="222">
        <f t="shared" si="4234"/>
        <v>1.3672312889378804</v>
      </c>
      <c r="AQ280" s="222">
        <f t="shared" si="4234"/>
        <v>1.3883094379756726</v>
      </c>
      <c r="AR280" s="222">
        <f t="shared" si="4234"/>
        <v>1.4097125418111309</v>
      </c>
      <c r="AS280" s="222">
        <f t="shared" si="4234"/>
        <v>1.4314456101640527</v>
      </c>
      <c r="AT280" s="222">
        <f t="shared" si="4234"/>
        <v>1.453513729987415</v>
      </c>
      <c r="AU280" s="222">
        <f t="shared" si="4234"/>
        <v>1.4759220666580544</v>
      </c>
      <c r="AV280" s="222">
        <f t="shared" si="4234"/>
        <v>1.4986758651856995</v>
      </c>
      <c r="AW280" s="222">
        <f t="shared" si="4234"/>
        <v>1.5217804514406457</v>
      </c>
      <c r="AX280" s="222">
        <f t="shared" si="4234"/>
        <v>1.5452412334003556</v>
      </c>
      <c r="AY280" s="222">
        <f t="shared" si="4234"/>
        <v>1.5690637024152778</v>
      </c>
      <c r="AZ280" s="222">
        <f t="shared" si="4234"/>
        <v>1.59325343449418</v>
      </c>
      <c r="BA280" s="222">
        <f t="shared" si="4234"/>
        <v>0</v>
      </c>
      <c r="BB280" s="222">
        <f t="shared" si="4234"/>
        <v>0</v>
      </c>
      <c r="BC280" s="222">
        <f t="shared" si="4234"/>
        <v>0</v>
      </c>
      <c r="BD280" s="222">
        <f t="shared" si="4234"/>
        <v>0</v>
      </c>
      <c r="BE280" s="222">
        <f t="shared" si="4234"/>
        <v>0</v>
      </c>
      <c r="BF280" s="222">
        <f t="shared" si="4234"/>
        <v>0</v>
      </c>
      <c r="BG280" s="222">
        <f t="shared" si="4234"/>
        <v>0</v>
      </c>
      <c r="BH280" s="222">
        <f t="shared" si="4234"/>
        <v>0</v>
      </c>
      <c r="BI280" s="222">
        <f t="shared" si="4234"/>
        <v>0</v>
      </c>
      <c r="BJ280" s="222">
        <f t="shared" si="4234"/>
        <v>0</v>
      </c>
      <c r="BK280" s="222">
        <f t="shared" si="4234"/>
        <v>0</v>
      </c>
    </row>
    <row r="281" spans="1:63" ht="7.8" x14ac:dyDescent="0.15">
      <c r="A281" s="205" t="s">
        <v>7</v>
      </c>
      <c r="B281" s="192"/>
      <c r="C281" s="192"/>
      <c r="D281" s="192"/>
      <c r="E281" s="192"/>
      <c r="F281" s="192"/>
      <c r="G281" s="192"/>
      <c r="H281" s="192"/>
      <c r="I281" s="192"/>
      <c r="J281" s="192"/>
      <c r="K281" s="192"/>
      <c r="L281" s="192"/>
      <c r="M281" s="192"/>
      <c r="N281" s="192"/>
      <c r="O281" s="192"/>
      <c r="P281" s="192"/>
      <c r="Q281" s="192"/>
      <c r="R281" s="192"/>
      <c r="S281" s="192"/>
      <c r="T281" s="192"/>
      <c r="U281" s="192"/>
      <c r="V281" s="192"/>
      <c r="W281" s="192"/>
      <c r="X281" s="192"/>
      <c r="Y281" s="192"/>
      <c r="Z281" s="192"/>
      <c r="AA281" s="192"/>
      <c r="AB281" s="192"/>
      <c r="AC281" s="192"/>
      <c r="AD281" s="192"/>
      <c r="AE281" s="192"/>
      <c r="AF281" s="192"/>
      <c r="AG281" s="192"/>
      <c r="AH281" s="214" cm="1">
        <f t="array" ref="AH281">INDEX(LoanOriginations,$A276)</f>
        <v>116.14000828953418</v>
      </c>
      <c r="AI281" s="199">
        <f t="shared" ref="AI281:BK281" si="4235">AH281*(1-MitigateDelinquency*MitigateChargeoff)  *  IF(AI276=0,0,IF(AI276-102=LoanSaleHeld,0.6,1))</f>
        <v>116.02386828124465</v>
      </c>
      <c r="AJ281" s="199">
        <f t="shared" si="4235"/>
        <v>115.9078444129634</v>
      </c>
      <c r="AK281" s="199">
        <f t="shared" si="4235"/>
        <v>115.79193656855044</v>
      </c>
      <c r="AL281" s="199">
        <f t="shared" si="4235"/>
        <v>69.405686779189125</v>
      </c>
      <c r="AM281" s="199">
        <f t="shared" si="4235"/>
        <v>69.336281092409934</v>
      </c>
      <c r="AN281" s="199">
        <f t="shared" si="4235"/>
        <v>69.266944811317529</v>
      </c>
      <c r="AO281" s="199">
        <f t="shared" si="4235"/>
        <v>69.197677866506211</v>
      </c>
      <c r="AP281" s="199">
        <f t="shared" si="4235"/>
        <v>69.128480188639699</v>
      </c>
      <c r="AQ281" s="199">
        <f t="shared" si="4235"/>
        <v>69.059351708451061</v>
      </c>
      <c r="AR281" s="199">
        <f t="shared" si="4235"/>
        <v>68.990292356742614</v>
      </c>
      <c r="AS281" s="199">
        <f t="shared" si="4235"/>
        <v>68.92130206438587</v>
      </c>
      <c r="AT281" s="199">
        <f t="shared" si="4235"/>
        <v>68.852380762321488</v>
      </c>
      <c r="AU281" s="199">
        <f t="shared" si="4235"/>
        <v>68.783528381559165</v>
      </c>
      <c r="AV281" s="199">
        <f t="shared" si="4235"/>
        <v>68.714744853177606</v>
      </c>
      <c r="AW281" s="199">
        <f t="shared" si="4235"/>
        <v>68.646030108324425</v>
      </c>
      <c r="AX281" s="199">
        <f t="shared" si="4235"/>
        <v>68.577384078216099</v>
      </c>
      <c r="AY281" s="199">
        <f t="shared" si="4235"/>
        <v>68.508806694137888</v>
      </c>
      <c r="AZ281" s="199">
        <f t="shared" si="4235"/>
        <v>68.440297887443748</v>
      </c>
      <c r="BA281" s="199">
        <f t="shared" si="4235"/>
        <v>0</v>
      </c>
      <c r="BB281" s="199">
        <f t="shared" si="4235"/>
        <v>0</v>
      </c>
      <c r="BC281" s="199">
        <f t="shared" si="4235"/>
        <v>0</v>
      </c>
      <c r="BD281" s="199">
        <f t="shared" si="4235"/>
        <v>0</v>
      </c>
      <c r="BE281" s="199">
        <f t="shared" si="4235"/>
        <v>0</v>
      </c>
      <c r="BF281" s="199">
        <f t="shared" si="4235"/>
        <v>0</v>
      </c>
      <c r="BG281" s="199">
        <f t="shared" si="4235"/>
        <v>0</v>
      </c>
      <c r="BH281" s="199">
        <f t="shared" si="4235"/>
        <v>0</v>
      </c>
      <c r="BI281" s="199">
        <f t="shared" si="4235"/>
        <v>0</v>
      </c>
      <c r="BJ281" s="199">
        <f t="shared" si="4235"/>
        <v>0</v>
      </c>
      <c r="BK281" s="199">
        <f t="shared" si="4235"/>
        <v>0</v>
      </c>
    </row>
    <row r="282" spans="1:63" ht="7.8" x14ac:dyDescent="0.15">
      <c r="A282" s="207" t="s">
        <v>96</v>
      </c>
      <c r="B282" s="192"/>
      <c r="C282" s="192"/>
      <c r="D282" s="192"/>
      <c r="E282" s="192"/>
      <c r="F282" s="192"/>
      <c r="G282" s="192"/>
      <c r="H282" s="192"/>
      <c r="I282" s="192"/>
      <c r="J282" s="192"/>
      <c r="K282" s="192"/>
      <c r="L282" s="192"/>
      <c r="M282" s="192"/>
      <c r="N282" s="192"/>
      <c r="O282" s="192"/>
      <c r="P282" s="192"/>
      <c r="Q282" s="192"/>
      <c r="R282" s="192"/>
      <c r="S282" s="192"/>
      <c r="T282" s="192"/>
      <c r="U282" s="192"/>
      <c r="V282" s="192"/>
      <c r="W282" s="192"/>
      <c r="X282" s="192"/>
      <c r="Y282" s="192"/>
      <c r="Z282" s="192"/>
      <c r="AA282" s="192"/>
      <c r="AB282" s="192"/>
      <c r="AC282" s="192"/>
      <c r="AD282" s="192"/>
      <c r="AE282" s="192"/>
      <c r="AF282" s="192"/>
      <c r="AG282" s="192"/>
      <c r="AH282" s="223">
        <f>AH279*AH281</f>
        <v>44.7622948615913</v>
      </c>
      <c r="AI282" s="200">
        <f t="shared" ref="AI282" si="4236">AI279*AI281</f>
        <v>42.553690736435229</v>
      </c>
      <c r="AJ282" s="200">
        <f t="shared" ref="AJ282" si="4237">AJ279*AJ281</f>
        <v>40.316133188245779</v>
      </c>
      <c r="AK282" s="200">
        <f t="shared" ref="AK282" si="4238">AK279*AK281</f>
        <v>38.049202398302384</v>
      </c>
      <c r="AL282" s="200">
        <f t="shared" ref="AL282" si="4239">AL279*AL281</f>
        <v>21.451483502894</v>
      </c>
      <c r="AM282" s="200">
        <f t="shared" ref="AM282" si="4240">AM279*AM281</f>
        <v>20.0553069095612</v>
      </c>
      <c r="AN282" s="200">
        <f t="shared" ref="AN282" si="4241">AN279*AN281</f>
        <v>18.640728732833804</v>
      </c>
      <c r="AO282" s="200">
        <f t="shared" ref="AO282" si="4242">AO279*AO281</f>
        <v>17.207482261804163</v>
      </c>
      <c r="AP282" s="200">
        <f t="shared" ref="AP282" si="4243">AP279*AP281</f>
        <v>15.755296946299298</v>
      </c>
      <c r="AQ282" s="200">
        <f t="shared" ref="AQ282" si="4244">AQ279*AQ281</f>
        <v>14.28389834158895</v>
      </c>
      <c r="AR282" s="200">
        <f t="shared" ref="AR282" si="4245">AR279*AR281</f>
        <v>12.793008052297376</v>
      </c>
      <c r="AS282" s="200">
        <f t="shared" ref="AS282" si="4246">AS279*AS281</f>
        <v>11.282343675507423</v>
      </c>
      <c r="AT282" s="200">
        <f t="shared" ref="AT282" si="4247">AT279*AT281</f>
        <v>9.7516187430452277</v>
      </c>
      <c r="AU282" s="200">
        <f t="shared" ref="AU282" si="4248">AU279*AU281</f>
        <v>8.2005426629337297</v>
      </c>
      <c r="AV282" s="200">
        <f t="shared" ref="AV282" si="4249">AV279*AV281</f>
        <v>6.6288206600030604</v>
      </c>
      <c r="AW282" s="200">
        <f t="shared" ref="AW282" si="4250">AW279*AW281</f>
        <v>5.036153715645642</v>
      </c>
      <c r="AX282" s="200">
        <f t="shared" ref="AX282" si="4251">AX279*AX281</f>
        <v>3.4222385067036836</v>
      </c>
      <c r="AY282" s="200">
        <f t="shared" ref="AY282" si="4252">AY279*AY281</f>
        <v>1.7867673434765887</v>
      </c>
      <c r="AZ282" s="200">
        <f t="shared" ref="AZ282" si="4253">AZ279*AZ281</f>
        <v>0.12942810683559175</v>
      </c>
      <c r="BA282" s="200">
        <f t="shared" ref="BA282" si="4254">BA279*BA281</f>
        <v>0</v>
      </c>
      <c r="BB282" s="200">
        <f t="shared" ref="BB282" si="4255">BB279*BB281</f>
        <v>0</v>
      </c>
      <c r="BC282" s="200">
        <f t="shared" ref="BC282" si="4256">BC279*BC281</f>
        <v>0</v>
      </c>
      <c r="BD282" s="200">
        <f t="shared" ref="BD282" si="4257">BD279*BD281</f>
        <v>0</v>
      </c>
      <c r="BE282" s="200">
        <f t="shared" ref="BE282" si="4258">BE279*BE281</f>
        <v>0</v>
      </c>
      <c r="BF282" s="200">
        <f t="shared" ref="BF282" si="4259">BF279*BF281</f>
        <v>0</v>
      </c>
      <c r="BG282" s="200">
        <f t="shared" ref="BG282" si="4260">BG279*BG281</f>
        <v>0</v>
      </c>
      <c r="BH282" s="200">
        <f t="shared" ref="BH282" si="4261">BH279*BH281</f>
        <v>0</v>
      </c>
      <c r="BI282" s="200">
        <f t="shared" ref="BI282" si="4262">BI279*BI281</f>
        <v>0</v>
      </c>
      <c r="BJ282" s="200">
        <f t="shared" ref="BJ282" si="4263">BJ279*BJ281</f>
        <v>0</v>
      </c>
      <c r="BK282" s="200">
        <f t="shared" ref="BK282" si="4264">BK279*BK281</f>
        <v>0</v>
      </c>
    </row>
    <row r="283" spans="1:63" ht="7.8" x14ac:dyDescent="0.15">
      <c r="A283" s="206" t="s">
        <v>97</v>
      </c>
      <c r="B283" s="192"/>
      <c r="C283" s="192"/>
      <c r="D283" s="192"/>
      <c r="E283" s="192"/>
      <c r="F283" s="192"/>
      <c r="G283" s="192"/>
      <c r="H283" s="192"/>
      <c r="I283" s="192"/>
      <c r="J283" s="192"/>
      <c r="K283" s="192"/>
      <c r="L283" s="192"/>
      <c r="M283" s="192"/>
      <c r="N283" s="192"/>
      <c r="O283" s="192"/>
      <c r="P283" s="192"/>
      <c r="Q283" s="192"/>
      <c r="R283" s="192"/>
      <c r="S283" s="192"/>
      <c r="T283" s="192"/>
      <c r="U283" s="192"/>
      <c r="V283" s="192"/>
      <c r="W283" s="192"/>
      <c r="X283" s="192"/>
      <c r="Y283" s="192"/>
      <c r="Z283" s="192"/>
      <c r="AA283" s="192"/>
      <c r="AB283" s="192"/>
      <c r="AC283" s="192"/>
      <c r="AD283" s="192"/>
      <c r="AE283" s="192"/>
      <c r="AF283" s="192"/>
      <c r="AG283" s="192"/>
      <c r="AH283" s="223">
        <f>AH280*AH281</f>
        <v>140.49780571670988</v>
      </c>
      <c r="AI283" s="200">
        <f>AI280*AI281</f>
        <v>142.52114974128764</v>
      </c>
      <c r="AJ283" s="200">
        <f t="shared" ref="AJ283:BK283" si="4265">AJ280*AJ281</f>
        <v>144.57363244899938</v>
      </c>
      <c r="AK283" s="200">
        <f t="shared" si="4265"/>
        <v>146.65567347330554</v>
      </c>
      <c r="AL283" s="200">
        <f t="shared" si="4265"/>
        <v>89.260619094547778</v>
      </c>
      <c r="AM283" s="200">
        <f t="shared" si="4265"/>
        <v>90.546083585283128</v>
      </c>
      <c r="AN283" s="200">
        <f t="shared" si="4265"/>
        <v>91.850060371515696</v>
      </c>
      <c r="AO283" s="200">
        <f t="shared" si="4265"/>
        <v>93.172816053440982</v>
      </c>
      <c r="AP283" s="200">
        <f t="shared" si="4265"/>
        <v>94.514621070630582</v>
      </c>
      <c r="AQ283" s="200">
        <f t="shared" si="4265"/>
        <v>95.875749757324002</v>
      </c>
      <c r="AR283" s="200">
        <f t="shared" si="4265"/>
        <v>97.256480398516672</v>
      </c>
      <c r="AS283" s="200">
        <f t="shared" si="4265"/>
        <v>98.657095286855821</v>
      </c>
      <c r="AT283" s="200">
        <f t="shared" si="4265"/>
        <v>100.07788078035564</v>
      </c>
      <c r="AU283" s="200">
        <f t="shared" si="4265"/>
        <v>101.51912736094374</v>
      </c>
      <c r="AV283" s="200">
        <f t="shared" si="4265"/>
        <v>102.98112969385055</v>
      </c>
      <c r="AW283" s="200">
        <f t="shared" si="4265"/>
        <v>104.4641866878541</v>
      </c>
      <c r="AX283" s="200">
        <f t="shared" si="4265"/>
        <v>105.96860155639256</v>
      </c>
      <c r="AY283" s="200">
        <f t="shared" si="4265"/>
        <v>107.49468187955657</v>
      </c>
      <c r="AZ283" s="200">
        <f t="shared" si="4265"/>
        <v>109.04273966697453</v>
      </c>
      <c r="BA283" s="200">
        <f t="shared" si="4265"/>
        <v>0</v>
      </c>
      <c r="BB283" s="200">
        <f t="shared" si="4265"/>
        <v>0</v>
      </c>
      <c r="BC283" s="200">
        <f t="shared" si="4265"/>
        <v>0</v>
      </c>
      <c r="BD283" s="200">
        <f t="shared" si="4265"/>
        <v>0</v>
      </c>
      <c r="BE283" s="200">
        <f t="shared" si="4265"/>
        <v>0</v>
      </c>
      <c r="BF283" s="200">
        <f t="shared" si="4265"/>
        <v>0</v>
      </c>
      <c r="BG283" s="200">
        <f t="shared" si="4265"/>
        <v>0</v>
      </c>
      <c r="BH283" s="200">
        <f t="shared" si="4265"/>
        <v>0</v>
      </c>
      <c r="BI283" s="200">
        <f t="shared" si="4265"/>
        <v>0</v>
      </c>
      <c r="BJ283" s="200">
        <f t="shared" si="4265"/>
        <v>0</v>
      </c>
      <c r="BK283" s="200">
        <f t="shared" si="4265"/>
        <v>0</v>
      </c>
    </row>
    <row r="284" spans="1:63" ht="7.8" x14ac:dyDescent="0.15">
      <c r="A284" s="208" t="s">
        <v>203</v>
      </c>
      <c r="B284" s="192"/>
      <c r="C284" s="192"/>
      <c r="D284" s="192"/>
      <c r="E284" s="192"/>
      <c r="F284" s="192"/>
      <c r="G284" s="192"/>
      <c r="H284" s="192"/>
      <c r="I284" s="192"/>
      <c r="J284" s="192"/>
      <c r="K284" s="192"/>
      <c r="L284" s="192"/>
      <c r="M284" s="192"/>
      <c r="N284" s="192"/>
      <c r="O284" s="192"/>
      <c r="P284" s="192"/>
      <c r="Q284" s="192"/>
      <c r="R284" s="192"/>
      <c r="S284" s="192"/>
      <c r="T284" s="192"/>
      <c r="U284" s="192"/>
      <c r="V284" s="192"/>
      <c r="W284" s="192"/>
      <c r="X284" s="192"/>
      <c r="Y284" s="192"/>
      <c r="Z284" s="192"/>
      <c r="AA284" s="192"/>
      <c r="AB284" s="192"/>
      <c r="AC284" s="192"/>
      <c r="AD284" s="192"/>
      <c r="AE284" s="192"/>
      <c r="AF284" s="192"/>
      <c r="AG284" s="192"/>
      <c r="AH284" s="224">
        <f>IF(AH276-101&lt;&gt;LoanSaleHeld,0,SUM($D283:AH283)*LoanSalePercent)</f>
        <v>0</v>
      </c>
      <c r="AI284" s="225">
        <f>IF(AI276-101&lt;&gt;LoanSaleHeld,0,SUM($D283:AI283)*LoanSalePercent)</f>
        <v>0</v>
      </c>
      <c r="AJ284" s="225">
        <f>IF(AJ276-101&lt;&gt;LoanSaleHeld,0,SUM($D283:AJ283)*LoanSalePercent)</f>
        <v>0</v>
      </c>
      <c r="AK284" s="225">
        <f>IF(AK276-101&lt;&gt;LoanSaleHeld,0,SUM($D283:AK283)*LoanSalePercent)</f>
        <v>229.69930455212099</v>
      </c>
      <c r="AL284" s="225">
        <f>IF(AL276-101&lt;&gt;LoanSaleHeld,0,SUM($D283:AL283)*LoanSalePercent)</f>
        <v>0</v>
      </c>
      <c r="AM284" s="225">
        <f>IF(AM276-101&lt;&gt;LoanSaleHeld,0,SUM($D283:AM283)*LoanSalePercent)</f>
        <v>0</v>
      </c>
      <c r="AN284" s="225">
        <f>IF(AN276-101&lt;&gt;LoanSaleHeld,0,SUM($D283:AN283)*LoanSalePercent)</f>
        <v>0</v>
      </c>
      <c r="AO284" s="225">
        <f>IF(AO276-101&lt;&gt;LoanSaleHeld,0,SUM($D283:AO283)*LoanSalePercent)</f>
        <v>0</v>
      </c>
      <c r="AP284" s="225">
        <f>IF(AP276-101&lt;&gt;LoanSaleHeld,0,SUM($D283:AP283)*LoanSalePercent)</f>
        <v>0</v>
      </c>
      <c r="AQ284" s="225">
        <f>IF(AQ276-101&lt;&gt;LoanSaleHeld,0,SUM($D283:AQ283)*LoanSalePercent)</f>
        <v>0</v>
      </c>
      <c r="AR284" s="225">
        <f>IF(AR276-101&lt;&gt;LoanSaleHeld,0,SUM($D283:AR283)*LoanSalePercent)</f>
        <v>0</v>
      </c>
      <c r="AS284" s="225">
        <f>IF(AS276-101&lt;&gt;LoanSaleHeld,0,SUM($D283:AS283)*LoanSalePercent)</f>
        <v>0</v>
      </c>
      <c r="AT284" s="225">
        <f>IF(AT276-101&lt;&gt;LoanSaleHeld,0,SUM($D283:AT283)*LoanSalePercent)</f>
        <v>0</v>
      </c>
      <c r="AU284" s="225">
        <f>IF(AU276-101&lt;&gt;LoanSaleHeld,0,SUM($D283:AU283)*LoanSalePercent)</f>
        <v>0</v>
      </c>
      <c r="AV284" s="225">
        <f>IF(AV276-101&lt;&gt;LoanSaleHeld,0,SUM($D283:AV283)*LoanSalePercent)</f>
        <v>0</v>
      </c>
      <c r="AW284" s="225">
        <f>IF(AW276-101&lt;&gt;LoanSaleHeld,0,SUM($D283:AW283)*LoanSalePercent)</f>
        <v>0</v>
      </c>
      <c r="AX284" s="225">
        <f>IF(AX276-101&lt;&gt;LoanSaleHeld,0,SUM($D283:AX283)*LoanSalePercent)</f>
        <v>0</v>
      </c>
      <c r="AY284" s="225">
        <f>IF(AY276-101&lt;&gt;LoanSaleHeld,0,SUM($D283:AY283)*LoanSalePercent)</f>
        <v>0</v>
      </c>
      <c r="AZ284" s="225">
        <f>IF(AZ276-101&lt;&gt;LoanSaleHeld,0,SUM($D283:AZ283)*LoanSalePercent)</f>
        <v>0</v>
      </c>
      <c r="BA284" s="225">
        <f>IF(BA276-101&lt;&gt;LoanSaleHeld,0,SUM($D283:BA283)*LoanSalePercent)</f>
        <v>0</v>
      </c>
      <c r="BB284" s="225">
        <f>IF(BB276-101&lt;&gt;LoanSaleHeld,0,SUM($D283:BB283)*LoanSalePercent)</f>
        <v>0</v>
      </c>
      <c r="BC284" s="225">
        <f>IF(BC276-101&lt;&gt;LoanSaleHeld,0,SUM($D283:BC283)*LoanSalePercent)</f>
        <v>0</v>
      </c>
      <c r="BD284" s="225">
        <f>IF(BD276-101&lt;&gt;LoanSaleHeld,0,SUM($D283:BD283)*LoanSalePercent)</f>
        <v>0</v>
      </c>
      <c r="BE284" s="225">
        <f>IF(BE276-101&lt;&gt;LoanSaleHeld,0,SUM($D283:BE283)*LoanSalePercent)</f>
        <v>0</v>
      </c>
      <c r="BF284" s="225">
        <f>IF(BF276-101&lt;&gt;LoanSaleHeld,0,SUM($D283:BF283)*LoanSalePercent)</f>
        <v>0</v>
      </c>
      <c r="BG284" s="225">
        <f>IF(BG276-101&lt;&gt;LoanSaleHeld,0,SUM($D283:BG283)*LoanSalePercent)</f>
        <v>0</v>
      </c>
      <c r="BH284" s="225">
        <f>IF(BH276-101&lt;&gt;LoanSaleHeld,0,SUM($D283:BH283)*LoanSalePercent)</f>
        <v>0</v>
      </c>
      <c r="BI284" s="225">
        <f>IF(BI276-101&lt;&gt;LoanSaleHeld,0,SUM($D283:BI283)*LoanSalePercent)</f>
        <v>0</v>
      </c>
      <c r="BJ284" s="225">
        <f>IF(BJ276-101&lt;&gt;LoanSaleHeld,0,SUM($D283:BJ283)*LoanSalePercent)</f>
        <v>0</v>
      </c>
      <c r="BK284" s="225">
        <f>IF(BK276-101&lt;&gt;LoanSaleHeld,0,SUM($D283:BK283)*LoanSalePercent)</f>
        <v>0</v>
      </c>
    </row>
    <row r="285" spans="1:63" ht="7.8" x14ac:dyDescent="0.15">
      <c r="A285" s="204">
        <f t="shared" ref="A285" si="4266">A276+1</f>
        <v>32</v>
      </c>
      <c r="B285" s="192"/>
      <c r="C285" s="192"/>
      <c r="D285" s="192"/>
      <c r="E285" s="192"/>
      <c r="F285" s="192"/>
      <c r="G285" s="192"/>
      <c r="H285" s="192"/>
      <c r="I285" s="192"/>
      <c r="J285" s="192"/>
      <c r="K285" s="192"/>
      <c r="L285" s="192"/>
      <c r="M285" s="192"/>
      <c r="N285" s="192"/>
      <c r="O285" s="192"/>
      <c r="P285" s="192"/>
      <c r="Q285" s="192"/>
      <c r="R285" s="192"/>
      <c r="S285" s="192"/>
      <c r="T285" s="192"/>
      <c r="U285" s="192"/>
      <c r="V285" s="192"/>
      <c r="W285" s="192"/>
      <c r="X285" s="192"/>
      <c r="Y285" s="192"/>
      <c r="Z285" s="192"/>
      <c r="AA285" s="192"/>
      <c r="AB285" s="192"/>
      <c r="AC285" s="192"/>
      <c r="AD285" s="192"/>
      <c r="AE285" s="192"/>
      <c r="AF285" s="192"/>
      <c r="AG285" s="192"/>
      <c r="AH285" s="192"/>
      <c r="AI285" s="195">
        <v>101</v>
      </c>
      <c r="AJ285" s="196">
        <f t="shared" ref="AJ285" si="4267">IF(AJ286=0,0,AI285+1)</f>
        <v>102</v>
      </c>
      <c r="AK285" s="196">
        <f t="shared" ref="AK285" si="4268">IF(AK286=0,0,AJ285+1)</f>
        <v>103</v>
      </c>
      <c r="AL285" s="196">
        <f t="shared" ref="AL285" si="4269">IF(AL286=0,0,AK285+1)</f>
        <v>104</v>
      </c>
      <c r="AM285" s="196">
        <f t="shared" ref="AM285" si="4270">IF(AM286=0,0,AL285+1)</f>
        <v>105</v>
      </c>
      <c r="AN285" s="196">
        <f t="shared" ref="AN285" si="4271">IF(AN286=0,0,AM285+1)</f>
        <v>106</v>
      </c>
      <c r="AO285" s="196">
        <f t="shared" ref="AO285" si="4272">IF(AO286=0,0,AN285+1)</f>
        <v>107</v>
      </c>
      <c r="AP285" s="196">
        <f t="shared" ref="AP285" si="4273">IF(AP286=0,0,AO285+1)</f>
        <v>108</v>
      </c>
      <c r="AQ285" s="196">
        <f t="shared" ref="AQ285" si="4274">IF(AQ286=0,0,AP285+1)</f>
        <v>109</v>
      </c>
      <c r="AR285" s="196">
        <f t="shared" ref="AR285" si="4275">IF(AR286=0,0,AQ285+1)</f>
        <v>110</v>
      </c>
      <c r="AS285" s="196">
        <f t="shared" ref="AS285" si="4276">IF(AS286=0,0,AR285+1)</f>
        <v>111</v>
      </c>
      <c r="AT285" s="196">
        <f t="shared" ref="AT285" si="4277">IF(AT286=0,0,AS285+1)</f>
        <v>112</v>
      </c>
      <c r="AU285" s="196">
        <f t="shared" ref="AU285" si="4278">IF(AU286=0,0,AT285+1)</f>
        <v>113</v>
      </c>
      <c r="AV285" s="196">
        <f t="shared" ref="AV285" si="4279">IF(AV286=0,0,AU285+1)</f>
        <v>114</v>
      </c>
      <c r="AW285" s="196">
        <f t="shared" ref="AW285" si="4280">IF(AW286=0,0,AV285+1)</f>
        <v>115</v>
      </c>
      <c r="AX285" s="196">
        <f t="shared" ref="AX285" si="4281">IF(AX286=0,0,AW285+1)</f>
        <v>116</v>
      </c>
      <c r="AY285" s="196">
        <f t="shared" ref="AY285" si="4282">IF(AY286=0,0,AX285+1)</f>
        <v>117</v>
      </c>
      <c r="AZ285" s="196">
        <f t="shared" ref="AZ285" si="4283">IF(AZ286=0,0,AY285+1)</f>
        <v>118</v>
      </c>
      <c r="BA285" s="196">
        <f t="shared" ref="BA285" si="4284">IF(BA286=0,0,AZ285+1)</f>
        <v>119</v>
      </c>
      <c r="BB285" s="196">
        <f t="shared" ref="BB285" si="4285">IF(BB286=0,0,BA285+1)</f>
        <v>0</v>
      </c>
      <c r="BC285" s="196">
        <f t="shared" ref="BC285" si="4286">IF(BC286=0,0,BB285+1)</f>
        <v>0</v>
      </c>
      <c r="BD285" s="196">
        <f t="shared" ref="BD285" si="4287">IF(BD286=0,0,BC285+1)</f>
        <v>0</v>
      </c>
      <c r="BE285" s="196">
        <f t="shared" ref="BE285" si="4288">IF(BE286=0,0,BD285+1)</f>
        <v>0</v>
      </c>
      <c r="BF285" s="196">
        <f t="shared" ref="BF285" si="4289">IF(BF286=0,0,BE285+1)</f>
        <v>0</v>
      </c>
      <c r="BG285" s="196">
        <f t="shared" ref="BG285" si="4290">IF(BG286=0,0,BF285+1)</f>
        <v>0</v>
      </c>
      <c r="BH285" s="196">
        <f t="shared" ref="BH285" si="4291">IF(BH286=0,0,BG285+1)</f>
        <v>0</v>
      </c>
      <c r="BI285" s="196">
        <f t="shared" ref="BI285" si="4292">IF(BI286=0,0,BH285+1)</f>
        <v>0</v>
      </c>
      <c r="BJ285" s="196">
        <f t="shared" ref="BJ285" si="4293">IF(BJ286=0,0,BI285+1)</f>
        <v>0</v>
      </c>
      <c r="BK285" s="196">
        <f t="shared" ref="BK285" si="4294">IF(BK286=0,0,BJ285+1)</f>
        <v>0</v>
      </c>
    </row>
    <row r="286" spans="1:63" ht="7.8" x14ac:dyDescent="0.15">
      <c r="A286" s="216" t="s">
        <v>178</v>
      </c>
      <c r="B286" s="192"/>
      <c r="C286" s="192"/>
      <c r="D286" s="192"/>
      <c r="E286" s="192"/>
      <c r="F286" s="192"/>
      <c r="G286" s="192"/>
      <c r="H286" s="192"/>
      <c r="I286" s="192"/>
      <c r="J286" s="192"/>
      <c r="K286" s="192"/>
      <c r="L286" s="192"/>
      <c r="M286" s="192"/>
      <c r="N286" s="192"/>
      <c r="O286" s="192"/>
      <c r="P286" s="192"/>
      <c r="Q286" s="192"/>
      <c r="R286" s="192"/>
      <c r="S286" s="192"/>
      <c r="T286" s="192"/>
      <c r="U286" s="192"/>
      <c r="V286" s="192"/>
      <c r="W286" s="192"/>
      <c r="X286" s="192"/>
      <c r="Y286" s="192"/>
      <c r="Z286" s="192"/>
      <c r="AA286" s="192"/>
      <c r="AB286" s="192"/>
      <c r="AC286" s="192"/>
      <c r="AD286" s="192"/>
      <c r="AE286" s="192"/>
      <c r="AF286" s="192"/>
      <c r="AG286" s="192"/>
      <c r="AH286" s="192"/>
      <c r="AI286" s="217">
        <f>LoanSize</f>
        <v>25</v>
      </c>
      <c r="AJ286" s="215">
        <f>IF(AI286-AI289&lt;=0.1,0,AI286-AI289)</f>
        <v>23.79027212253634</v>
      </c>
      <c r="AK286" s="215">
        <f t="shared" ref="AK286:BK286" si="4295">IF(AJ286-AJ289&lt;=0.1,0,AJ286-AJ289)</f>
        <v>22.56189427362845</v>
      </c>
      <c r="AL286" s="215">
        <f t="shared" si="4295"/>
        <v>21.314578932883229</v>
      </c>
      <c r="AM286" s="215">
        <f t="shared" si="4295"/>
        <v>20.048034147301522</v>
      </c>
      <c r="AN286" s="215">
        <f t="shared" si="4295"/>
        <v>18.761963462942095</v>
      </c>
      <c r="AO286" s="215">
        <f t="shared" si="4295"/>
        <v>17.456065855532128</v>
      </c>
      <c r="AP286" s="215">
        <f t="shared" si="4295"/>
        <v>16.130035660007923</v>
      </c>
      <c r="AQ286" s="215">
        <f t="shared" si="4295"/>
        <v>14.783562498969387</v>
      </c>
      <c r="AR286" s="215">
        <f t="shared" si="4295"/>
        <v>13.416331210031506</v>
      </c>
      <c r="AS286" s="215">
        <f t="shared" si="4295"/>
        <v>12.028021772055833</v>
      </c>
      <c r="AT286" s="215">
        <f t="shared" si="4295"/>
        <v>10.618309230244702</v>
      </c>
      <c r="AU286" s="215">
        <f t="shared" si="4295"/>
        <v>9.1868636200806488</v>
      </c>
      <c r="AV286" s="215">
        <f t="shared" si="4295"/>
        <v>7.7333498900932334</v>
      </c>
      <c r="AW286" s="215">
        <f t="shared" si="4295"/>
        <v>6.2574278234351794</v>
      </c>
      <c r="AX286" s="215">
        <f t="shared" si="4295"/>
        <v>4.7587519582494799</v>
      </c>
      <c r="AY286" s="215">
        <f t="shared" si="4295"/>
        <v>3.2369715068088345</v>
      </c>
      <c r="AZ286" s="215">
        <f t="shared" si="4295"/>
        <v>1.6917302734084789</v>
      </c>
      <c r="BA286" s="215">
        <f t="shared" si="4295"/>
        <v>0.12266657099320111</v>
      </c>
      <c r="BB286" s="215">
        <f t="shared" si="4295"/>
        <v>0</v>
      </c>
      <c r="BC286" s="215">
        <f t="shared" si="4295"/>
        <v>0</v>
      </c>
      <c r="BD286" s="215">
        <f t="shared" si="4295"/>
        <v>0</v>
      </c>
      <c r="BE286" s="215">
        <f t="shared" si="4295"/>
        <v>0</v>
      </c>
      <c r="BF286" s="215">
        <f t="shared" si="4295"/>
        <v>0</v>
      </c>
      <c r="BG286" s="215">
        <f t="shared" si="4295"/>
        <v>0</v>
      </c>
      <c r="BH286" s="215">
        <f t="shared" si="4295"/>
        <v>0</v>
      </c>
      <c r="BI286" s="215">
        <f t="shared" si="4295"/>
        <v>0</v>
      </c>
      <c r="BJ286" s="215">
        <f t="shared" si="4295"/>
        <v>0</v>
      </c>
      <c r="BK286" s="215">
        <f t="shared" si="4295"/>
        <v>0</v>
      </c>
    </row>
    <row r="287" spans="1:63" ht="7.8" x14ac:dyDescent="0.15">
      <c r="A287" s="218" t="s">
        <v>179</v>
      </c>
      <c r="B287" s="192"/>
      <c r="C287" s="192"/>
      <c r="D287" s="192"/>
      <c r="E287" s="192"/>
      <c r="F287" s="192"/>
      <c r="G287" s="192"/>
      <c r="H287" s="192"/>
      <c r="I287" s="192"/>
      <c r="J287" s="192"/>
      <c r="K287" s="192"/>
      <c r="L287" s="192"/>
      <c r="M287" s="192"/>
      <c r="N287" s="192"/>
      <c r="O287" s="192"/>
      <c r="P287" s="192"/>
      <c r="Q287" s="192"/>
      <c r="R287" s="192"/>
      <c r="S287" s="192"/>
      <c r="T287" s="192"/>
      <c r="U287" s="192"/>
      <c r="V287" s="192"/>
      <c r="W287" s="192"/>
      <c r="X287" s="192"/>
      <c r="Y287" s="192"/>
      <c r="Z287" s="192"/>
      <c r="AA287" s="192"/>
      <c r="AB287" s="192"/>
      <c r="AC287" s="192"/>
      <c r="AD287" s="192"/>
      <c r="AE287" s="192"/>
      <c r="AF287" s="192"/>
      <c r="AG287" s="192"/>
      <c r="AH287" s="192"/>
      <c r="AI287" s="219">
        <f>IF(AI286=0,0,PMT(INDEX(LoanCohortRate,1),LoanTerm, -LoanSize))</f>
        <v>1.5951445441303251</v>
      </c>
      <c r="AJ287" s="222">
        <f t="shared" ref="AJ287" si="4296">IF(AJ286=0,0, AI287)</f>
        <v>1.5951445441303251</v>
      </c>
      <c r="AK287" s="222">
        <f t="shared" ref="AK287" si="4297">IF(AK286=0,0, AJ287)</f>
        <v>1.5951445441303251</v>
      </c>
      <c r="AL287" s="222">
        <f t="shared" ref="AL287" si="4298">IF(AL286=0,0, AK287)</f>
        <v>1.5951445441303251</v>
      </c>
      <c r="AM287" s="222">
        <f t="shared" ref="AM287" si="4299">IF(AM286=0,0, AL287)</f>
        <v>1.5951445441303251</v>
      </c>
      <c r="AN287" s="222">
        <f t="shared" ref="AN287" si="4300">IF(AN286=0,0, AM287)</f>
        <v>1.5951445441303251</v>
      </c>
      <c r="AO287" s="222">
        <f t="shared" ref="AO287" si="4301">IF(AO286=0,0, AN287)</f>
        <v>1.5951445441303251</v>
      </c>
      <c r="AP287" s="222">
        <f t="shared" ref="AP287" si="4302">IF(AP286=0,0, AO287)</f>
        <v>1.5951445441303251</v>
      </c>
      <c r="AQ287" s="222">
        <f t="shared" ref="AQ287" si="4303">IF(AQ286=0,0, AP287)</f>
        <v>1.5951445441303251</v>
      </c>
      <c r="AR287" s="222">
        <f t="shared" ref="AR287" si="4304">IF(AR286=0,0, AQ287)</f>
        <v>1.5951445441303251</v>
      </c>
      <c r="AS287" s="222">
        <f t="shared" ref="AS287" si="4305">IF(AS286=0,0, AR287)</f>
        <v>1.5951445441303251</v>
      </c>
      <c r="AT287" s="222">
        <f t="shared" ref="AT287" si="4306">IF(AT286=0,0, AS287)</f>
        <v>1.5951445441303251</v>
      </c>
      <c r="AU287" s="222">
        <f t="shared" ref="AU287" si="4307">IF(AU286=0,0, AT287)</f>
        <v>1.5951445441303251</v>
      </c>
      <c r="AV287" s="222">
        <f t="shared" ref="AV287" si="4308">IF(AV286=0,0, AU287)</f>
        <v>1.5951445441303251</v>
      </c>
      <c r="AW287" s="222">
        <f t="shared" ref="AW287" si="4309">IF(AW286=0,0, AV287)</f>
        <v>1.5951445441303251</v>
      </c>
      <c r="AX287" s="222">
        <f t="shared" ref="AX287" si="4310">IF(AX286=0,0, AW287)</f>
        <v>1.5951445441303251</v>
      </c>
      <c r="AY287" s="222">
        <f t="shared" ref="AY287" si="4311">IF(AY286=0,0, AX287)</f>
        <v>1.5951445441303251</v>
      </c>
      <c r="AZ287" s="222">
        <f t="shared" ref="AZ287" si="4312">IF(AZ286=0,0, AY287)</f>
        <v>1.5951445441303251</v>
      </c>
      <c r="BA287" s="222">
        <f t="shared" ref="BA287" si="4313">IF(BA286=0,0, AZ287)</f>
        <v>1.5951445441303251</v>
      </c>
      <c r="BB287" s="222">
        <f t="shared" ref="BB287" si="4314">IF(BB286=0,0, BA287)</f>
        <v>0</v>
      </c>
      <c r="BC287" s="222">
        <f t="shared" ref="BC287" si="4315">IF(BC286=0,0, BB287)</f>
        <v>0</v>
      </c>
      <c r="BD287" s="222">
        <f t="shared" ref="BD287" si="4316">IF(BD286=0,0, BC287)</f>
        <v>0</v>
      </c>
      <c r="BE287" s="222">
        <f t="shared" ref="BE287" si="4317">IF(BE286=0,0, BD287)</f>
        <v>0</v>
      </c>
      <c r="BF287" s="222">
        <f t="shared" ref="BF287" si="4318">IF(BF286=0,0, BE287)</f>
        <v>0</v>
      </c>
      <c r="BG287" s="222">
        <f t="shared" ref="BG287" si="4319">IF(BG286=0,0, BF287)</f>
        <v>0</v>
      </c>
      <c r="BH287" s="222">
        <f t="shared" ref="BH287" si="4320">IF(BH286=0,0, BG287)</f>
        <v>0</v>
      </c>
      <c r="BI287" s="222">
        <f t="shared" ref="BI287" si="4321">IF(BI286=0,0, BH287)</f>
        <v>0</v>
      </c>
      <c r="BJ287" s="222">
        <f t="shared" ref="BJ287" si="4322">IF(BJ286=0,0, BI287)</f>
        <v>0</v>
      </c>
      <c r="BK287" s="222">
        <f t="shared" ref="BK287" si="4323">IF(BK286=0,0, BJ287)</f>
        <v>0</v>
      </c>
    </row>
    <row r="288" spans="1:63" ht="7.8" x14ac:dyDescent="0.15">
      <c r="A288" s="218" t="s">
        <v>180</v>
      </c>
      <c r="B288" s="192"/>
      <c r="C288" s="192"/>
      <c r="D288" s="192"/>
      <c r="E288" s="192"/>
      <c r="F288" s="192"/>
      <c r="G288" s="192"/>
      <c r="H288" s="192"/>
      <c r="I288" s="192"/>
      <c r="J288" s="192"/>
      <c r="K288" s="192"/>
      <c r="L288" s="192"/>
      <c r="M288" s="192"/>
      <c r="N288" s="192"/>
      <c r="O288" s="192"/>
      <c r="P288" s="192"/>
      <c r="Q288" s="192"/>
      <c r="R288" s="192"/>
      <c r="S288" s="192"/>
      <c r="T288" s="192"/>
      <c r="U288" s="192"/>
      <c r="V288" s="192"/>
      <c r="W288" s="192"/>
      <c r="X288" s="192"/>
      <c r="Y288" s="192"/>
      <c r="Z288" s="192"/>
      <c r="AA288" s="192"/>
      <c r="AB288" s="192"/>
      <c r="AC288" s="192"/>
      <c r="AD288" s="192"/>
      <c r="AE288" s="192"/>
      <c r="AF288" s="192"/>
      <c r="AG288" s="192"/>
      <c r="AH288" s="192"/>
      <c r="AI288" s="220" cm="1">
        <f t="array" ref="AI288">AI286*INDEX(LoanCohortRate,$A285)</f>
        <v>0.38541666666666669</v>
      </c>
      <c r="AJ288" s="221" cm="1">
        <f t="array" ref="AJ288">AJ286*INDEX(LoanCohortRate,$A285)</f>
        <v>0.36676669522243527</v>
      </c>
      <c r="AK288" s="221" cm="1">
        <f t="array" ref="AK288">AK286*INDEX(LoanCohortRate,$A285)</f>
        <v>0.34782920338510526</v>
      </c>
      <c r="AL288" s="221" cm="1">
        <f t="array" ref="AL288">AL286*INDEX(LoanCohortRate,$A285)</f>
        <v>0.32859975854861645</v>
      </c>
      <c r="AM288" s="221" cm="1">
        <f t="array" ref="AM288">AM286*INDEX(LoanCohortRate,$A285)</f>
        <v>0.30907385977089846</v>
      </c>
      <c r="AN288" s="221" cm="1">
        <f t="array" ref="AN288">AN286*INDEX(LoanCohortRate,$A285)</f>
        <v>0.28924693672035728</v>
      </c>
      <c r="AO288" s="221" cm="1">
        <f t="array" ref="AO288">AO286*INDEX(LoanCohortRate,$A285)</f>
        <v>0.26911434860612032</v>
      </c>
      <c r="AP288" s="221" cm="1">
        <f t="array" ref="AP288">AP286*INDEX(LoanCohortRate,$A285)</f>
        <v>0.24867138309178882</v>
      </c>
      <c r="AQ288" s="221" cm="1">
        <f t="array" ref="AQ288">AQ286*INDEX(LoanCohortRate,$A285)</f>
        <v>0.22791325519244471</v>
      </c>
      <c r="AR288" s="221" cm="1">
        <f t="array" ref="AR288">AR286*INDEX(LoanCohortRate,$A285)</f>
        <v>0.20683510615465239</v>
      </c>
      <c r="AS288" s="221" cm="1">
        <f t="array" ref="AS288">AS286*INDEX(LoanCohortRate,$A285)</f>
        <v>0.1854320023191941</v>
      </c>
      <c r="AT288" s="221" cm="1">
        <f t="array" ref="AT288">AT286*INDEX(LoanCohortRate,$A285)</f>
        <v>0.1636989339662725</v>
      </c>
      <c r="AU288" s="221" cm="1">
        <f t="array" ref="AU288">AU286*INDEX(LoanCohortRate,$A285)</f>
        <v>0.14163081414291001</v>
      </c>
      <c r="AV288" s="221" cm="1">
        <f t="array" ref="AV288">AV286*INDEX(LoanCohortRate,$A285)</f>
        <v>0.11922247747227069</v>
      </c>
      <c r="AW288" s="221" cm="1">
        <f t="array" ref="AW288">AW286*INDEX(LoanCohortRate,$A285)</f>
        <v>9.6468678944625685E-2</v>
      </c>
      <c r="AX288" s="221" cm="1">
        <f t="array" ref="AX288">AX286*INDEX(LoanCohortRate,$A285)</f>
        <v>7.3364092689679486E-2</v>
      </c>
      <c r="AY288" s="221" cm="1">
        <f t="array" ref="AY288">AY286*INDEX(LoanCohortRate,$A285)</f>
        <v>4.9903310729969536E-2</v>
      </c>
      <c r="AZ288" s="221" cm="1">
        <f t="array" ref="AZ288">AZ286*INDEX(LoanCohortRate,$A285)</f>
        <v>2.6080841715047383E-2</v>
      </c>
      <c r="BA288" s="221" cm="1">
        <f t="array" ref="BA288">BA286*INDEX(LoanCohortRate,$A285)</f>
        <v>1.8911096361451838E-3</v>
      </c>
      <c r="BB288" s="221" cm="1">
        <f t="array" ref="BB288">BB286*INDEX(LoanCohortRate,$A285)</f>
        <v>0</v>
      </c>
      <c r="BC288" s="221" cm="1">
        <f t="array" ref="BC288">BC286*INDEX(LoanCohortRate,$A285)</f>
        <v>0</v>
      </c>
      <c r="BD288" s="221" cm="1">
        <f t="array" ref="BD288">BD286*INDEX(LoanCohortRate,$A285)</f>
        <v>0</v>
      </c>
      <c r="BE288" s="221" cm="1">
        <f t="array" ref="BE288">BE286*INDEX(LoanCohortRate,$A285)</f>
        <v>0</v>
      </c>
      <c r="BF288" s="221" cm="1">
        <f t="array" ref="BF288">BF286*INDEX(LoanCohortRate,$A285)</f>
        <v>0</v>
      </c>
      <c r="BG288" s="221" cm="1">
        <f t="array" ref="BG288">BG286*INDEX(LoanCohortRate,$A285)</f>
        <v>0</v>
      </c>
      <c r="BH288" s="221" cm="1">
        <f t="array" ref="BH288">BH286*INDEX(LoanCohortRate,$A285)</f>
        <v>0</v>
      </c>
      <c r="BI288" s="221" cm="1">
        <f t="array" ref="BI288">BI286*INDEX(LoanCohortRate,$A285)</f>
        <v>0</v>
      </c>
      <c r="BJ288" s="221" cm="1">
        <f t="array" ref="BJ288">BJ286*INDEX(LoanCohortRate,$A285)</f>
        <v>0</v>
      </c>
      <c r="BK288" s="221" cm="1">
        <f t="array" ref="BK288">BK286*INDEX(LoanCohortRate,$A285)</f>
        <v>0</v>
      </c>
    </row>
    <row r="289" spans="1:63" ht="7.8" x14ac:dyDescent="0.15">
      <c r="A289" s="218" t="s">
        <v>177</v>
      </c>
      <c r="B289" s="192"/>
      <c r="C289" s="192"/>
      <c r="D289" s="192"/>
      <c r="E289" s="192"/>
      <c r="F289" s="192"/>
      <c r="G289" s="192"/>
      <c r="H289" s="192"/>
      <c r="I289" s="192"/>
      <c r="J289" s="192"/>
      <c r="K289" s="192"/>
      <c r="L289" s="192"/>
      <c r="M289" s="192"/>
      <c r="N289" s="192"/>
      <c r="O289" s="192"/>
      <c r="P289" s="192"/>
      <c r="Q289" s="192"/>
      <c r="R289" s="192"/>
      <c r="S289" s="192"/>
      <c r="T289" s="192"/>
      <c r="U289" s="192"/>
      <c r="V289" s="192"/>
      <c r="W289" s="192"/>
      <c r="X289" s="192"/>
      <c r="Y289" s="192"/>
      <c r="Z289" s="192"/>
      <c r="AA289" s="192"/>
      <c r="AB289" s="192"/>
      <c r="AC289" s="192"/>
      <c r="AD289" s="192"/>
      <c r="AE289" s="192"/>
      <c r="AF289" s="192"/>
      <c r="AG289" s="192"/>
      <c r="AH289" s="192"/>
      <c r="AI289" s="219">
        <f>AI287-AI288</f>
        <v>1.2097278774636584</v>
      </c>
      <c r="AJ289" s="222">
        <f t="shared" ref="AJ289:BK289" si="4324">AJ287-AJ288</f>
        <v>1.2283778489078898</v>
      </c>
      <c r="AK289" s="222">
        <f t="shared" si="4324"/>
        <v>1.24731534074522</v>
      </c>
      <c r="AL289" s="222">
        <f t="shared" si="4324"/>
        <v>1.2665447855817087</v>
      </c>
      <c r="AM289" s="222">
        <f t="shared" si="4324"/>
        <v>1.2860706843594267</v>
      </c>
      <c r="AN289" s="222">
        <f t="shared" si="4324"/>
        <v>1.305897607409968</v>
      </c>
      <c r="AO289" s="222">
        <f t="shared" si="4324"/>
        <v>1.3260301955242049</v>
      </c>
      <c r="AP289" s="222">
        <f t="shared" si="4324"/>
        <v>1.3464731610385363</v>
      </c>
      <c r="AQ289" s="222">
        <f t="shared" si="4324"/>
        <v>1.3672312889378804</v>
      </c>
      <c r="AR289" s="222">
        <f t="shared" si="4324"/>
        <v>1.3883094379756726</v>
      </c>
      <c r="AS289" s="222">
        <f t="shared" si="4324"/>
        <v>1.4097125418111309</v>
      </c>
      <c r="AT289" s="222">
        <f t="shared" si="4324"/>
        <v>1.4314456101640527</v>
      </c>
      <c r="AU289" s="222">
        <f t="shared" si="4324"/>
        <v>1.453513729987415</v>
      </c>
      <c r="AV289" s="222">
        <f t="shared" si="4324"/>
        <v>1.4759220666580544</v>
      </c>
      <c r="AW289" s="222">
        <f t="shared" si="4324"/>
        <v>1.4986758651856995</v>
      </c>
      <c r="AX289" s="222">
        <f t="shared" si="4324"/>
        <v>1.5217804514406457</v>
      </c>
      <c r="AY289" s="222">
        <f t="shared" si="4324"/>
        <v>1.5452412334003556</v>
      </c>
      <c r="AZ289" s="222">
        <f t="shared" si="4324"/>
        <v>1.5690637024152778</v>
      </c>
      <c r="BA289" s="222">
        <f t="shared" si="4324"/>
        <v>1.59325343449418</v>
      </c>
      <c r="BB289" s="222">
        <f t="shared" si="4324"/>
        <v>0</v>
      </c>
      <c r="BC289" s="222">
        <f t="shared" si="4324"/>
        <v>0</v>
      </c>
      <c r="BD289" s="222">
        <f t="shared" si="4324"/>
        <v>0</v>
      </c>
      <c r="BE289" s="222">
        <f t="shared" si="4324"/>
        <v>0</v>
      </c>
      <c r="BF289" s="222">
        <f t="shared" si="4324"/>
        <v>0</v>
      </c>
      <c r="BG289" s="222">
        <f t="shared" si="4324"/>
        <v>0</v>
      </c>
      <c r="BH289" s="222">
        <f t="shared" si="4324"/>
        <v>0</v>
      </c>
      <c r="BI289" s="222">
        <f t="shared" si="4324"/>
        <v>0</v>
      </c>
      <c r="BJ289" s="222">
        <f t="shared" si="4324"/>
        <v>0</v>
      </c>
      <c r="BK289" s="222">
        <f t="shared" si="4324"/>
        <v>0</v>
      </c>
    </row>
    <row r="290" spans="1:63" ht="7.8" x14ac:dyDescent="0.15">
      <c r="A290" s="205" t="s">
        <v>7</v>
      </c>
      <c r="B290" s="192"/>
      <c r="C290" s="192"/>
      <c r="D290" s="192"/>
      <c r="E290" s="192"/>
      <c r="F290" s="192"/>
      <c r="G290" s="192"/>
      <c r="H290" s="192"/>
      <c r="I290" s="192"/>
      <c r="J290" s="192"/>
      <c r="K290" s="192"/>
      <c r="L290" s="192"/>
      <c r="M290" s="192"/>
      <c r="N290" s="192"/>
      <c r="O290" s="192"/>
      <c r="P290" s="192"/>
      <c r="Q290" s="192"/>
      <c r="R290" s="192"/>
      <c r="S290" s="192"/>
      <c r="T290" s="192"/>
      <c r="U290" s="192"/>
      <c r="V290" s="192"/>
      <c r="W290" s="192"/>
      <c r="X290" s="192"/>
      <c r="Y290" s="192"/>
      <c r="Z290" s="192"/>
      <c r="AA290" s="192"/>
      <c r="AB290" s="192"/>
      <c r="AC290" s="192"/>
      <c r="AD290" s="192"/>
      <c r="AE290" s="192"/>
      <c r="AF290" s="192"/>
      <c r="AG290" s="192"/>
      <c r="AH290" s="192"/>
      <c r="AI290" s="214" cm="1">
        <f t="array" ref="AI290">INDEX(LoanOriginations,$A285)</f>
        <v>116.72070833098184</v>
      </c>
      <c r="AJ290" s="199">
        <f t="shared" ref="AJ290:BK290" si="4325">AI290*(1-MitigateDelinquency*MitigateChargeoff)  *  IF(AJ285=0,0,IF(AJ285-102=LoanSaleHeld,0.6,1))</f>
        <v>116.60398762265085</v>
      </c>
      <c r="AK290" s="199">
        <f t="shared" si="4325"/>
        <v>116.48738363502819</v>
      </c>
      <c r="AL290" s="199">
        <f t="shared" si="4325"/>
        <v>116.37089625139316</v>
      </c>
      <c r="AM290" s="199">
        <f t="shared" si="4325"/>
        <v>69.752715213085054</v>
      </c>
      <c r="AN290" s="199">
        <f t="shared" si="4325"/>
        <v>69.682962497871969</v>
      </c>
      <c r="AO290" s="199">
        <f t="shared" si="4325"/>
        <v>69.61327953537409</v>
      </c>
      <c r="AP290" s="199">
        <f t="shared" si="4325"/>
        <v>69.543666255838716</v>
      </c>
      <c r="AQ290" s="199">
        <f t="shared" si="4325"/>
        <v>69.474122589582876</v>
      </c>
      <c r="AR290" s="199">
        <f t="shared" si="4325"/>
        <v>69.404648466993294</v>
      </c>
      <c r="AS290" s="199">
        <f t="shared" si="4325"/>
        <v>69.335243818526294</v>
      </c>
      <c r="AT290" s="199">
        <f t="shared" si="4325"/>
        <v>69.265908574707765</v>
      </c>
      <c r="AU290" s="199">
        <f t="shared" si="4325"/>
        <v>69.196642666133059</v>
      </c>
      <c r="AV290" s="199">
        <f t="shared" si="4325"/>
        <v>69.127446023466931</v>
      </c>
      <c r="AW290" s="199">
        <f t="shared" si="4325"/>
        <v>69.058318577443458</v>
      </c>
      <c r="AX290" s="199">
        <f t="shared" si="4325"/>
        <v>68.989260258866011</v>
      </c>
      <c r="AY290" s="199">
        <f t="shared" si="4325"/>
        <v>68.920270998607151</v>
      </c>
      <c r="AZ290" s="199">
        <f t="shared" si="4325"/>
        <v>68.851350727608548</v>
      </c>
      <c r="BA290" s="199">
        <f t="shared" si="4325"/>
        <v>68.782499376880935</v>
      </c>
      <c r="BB290" s="199">
        <f t="shared" si="4325"/>
        <v>0</v>
      </c>
      <c r="BC290" s="199">
        <f t="shared" si="4325"/>
        <v>0</v>
      </c>
      <c r="BD290" s="199">
        <f t="shared" si="4325"/>
        <v>0</v>
      </c>
      <c r="BE290" s="199">
        <f t="shared" si="4325"/>
        <v>0</v>
      </c>
      <c r="BF290" s="199">
        <f t="shared" si="4325"/>
        <v>0</v>
      </c>
      <c r="BG290" s="199">
        <f t="shared" si="4325"/>
        <v>0</v>
      </c>
      <c r="BH290" s="199">
        <f t="shared" si="4325"/>
        <v>0</v>
      </c>
      <c r="BI290" s="199">
        <f t="shared" si="4325"/>
        <v>0</v>
      </c>
      <c r="BJ290" s="199">
        <f t="shared" si="4325"/>
        <v>0</v>
      </c>
      <c r="BK290" s="199">
        <f t="shared" si="4325"/>
        <v>0</v>
      </c>
    </row>
    <row r="291" spans="1:63" ht="7.8" x14ac:dyDescent="0.15">
      <c r="A291" s="207" t="s">
        <v>96</v>
      </c>
      <c r="B291" s="192"/>
      <c r="C291" s="192"/>
      <c r="D291" s="192"/>
      <c r="E291" s="192"/>
      <c r="F291" s="192"/>
      <c r="G291" s="192"/>
      <c r="H291" s="192"/>
      <c r="I291" s="192"/>
      <c r="J291" s="192"/>
      <c r="K291" s="192"/>
      <c r="L291" s="192"/>
      <c r="M291" s="192"/>
      <c r="N291" s="192"/>
      <c r="O291" s="192"/>
      <c r="P291" s="192"/>
      <c r="Q291" s="192"/>
      <c r="R291" s="192"/>
      <c r="S291" s="192"/>
      <c r="T291" s="192"/>
      <c r="U291" s="192"/>
      <c r="V291" s="192"/>
      <c r="W291" s="192"/>
      <c r="X291" s="192"/>
      <c r="Y291" s="192"/>
      <c r="Z291" s="192"/>
      <c r="AA291" s="192"/>
      <c r="AB291" s="192"/>
      <c r="AC291" s="192"/>
      <c r="AD291" s="192"/>
      <c r="AE291" s="192"/>
      <c r="AF291" s="192"/>
      <c r="AG291" s="192"/>
      <c r="AH291" s="192"/>
      <c r="AI291" s="223">
        <f>AI288*AI290</f>
        <v>44.986106335899251</v>
      </c>
      <c r="AJ291" s="200">
        <f t="shared" ref="AJ291" si="4326">AJ288*AJ290</f>
        <v>42.766459190117395</v>
      </c>
      <c r="AK291" s="200">
        <f t="shared" ref="AK291" si="4327">AK288*AK290</f>
        <v>40.517713854187001</v>
      </c>
      <c r="AL291" s="200">
        <f t="shared" ref="AL291" si="4328">AL288*AL290</f>
        <v>38.239448410293889</v>
      </c>
      <c r="AM291" s="200">
        <f t="shared" ref="AM291" si="4329">AM288*AM290</f>
        <v>21.558740920408464</v>
      </c>
      <c r="AN291" s="200">
        <f t="shared" ref="AN291" si="4330">AN288*AN290</f>
        <v>20.155583444109002</v>
      </c>
      <c r="AO291" s="200">
        <f t="shared" ref="AO291" si="4331">AO288*AO290</f>
        <v>18.733932376497965</v>
      </c>
      <c r="AP291" s="200">
        <f t="shared" ref="AP291" si="4332">AP288*AP290</f>
        <v>17.293519673113178</v>
      </c>
      <c r="AQ291" s="200">
        <f t="shared" ref="AQ291" si="4333">AQ288*AQ290</f>
        <v>15.83407343103079</v>
      </c>
      <c r="AR291" s="200">
        <f t="shared" ref="AR291" si="4334">AR288*AR290</f>
        <v>14.35531783329689</v>
      </c>
      <c r="AS291" s="200">
        <f t="shared" ref="AS291" si="4335">AS288*AS290</f>
        <v>12.856973092558857</v>
      </c>
      <c r="AT291" s="200">
        <f t="shared" ref="AT291" si="4336">AT288*AT290</f>
        <v>11.338755393884954</v>
      </c>
      <c r="AU291" s="200">
        <f t="shared" ref="AU291" si="4337">AU288*AU290</f>
        <v>9.8003768367604476</v>
      </c>
      <c r="AV291" s="200">
        <f t="shared" ref="AV291" si="4338">AV288*AV290</f>
        <v>8.2415453762483946</v>
      </c>
      <c r="AW291" s="200">
        <f t="shared" ref="AW291" si="4339">AW288*AW290</f>
        <v>6.6619647633030725</v>
      </c>
      <c r="AX291" s="200">
        <f t="shared" ref="AX291" si="4340">AX288*AX290</f>
        <v>5.0613344842238677</v>
      </c>
      <c r="AY291" s="200">
        <f t="shared" ref="AY291" si="4341">AY288*AY290</f>
        <v>3.4393496992372006</v>
      </c>
      <c r="AZ291" s="200">
        <f t="shared" ref="AZ291" si="4342">AZ288*AZ290</f>
        <v>1.7957011801939711</v>
      </c>
      <c r="BA291" s="200">
        <f t="shared" ref="BA291" si="4343">BA288*BA290</f>
        <v>0.13007524736976964</v>
      </c>
      <c r="BB291" s="200">
        <f t="shared" ref="BB291" si="4344">BB288*BB290</f>
        <v>0</v>
      </c>
      <c r="BC291" s="200">
        <f t="shared" ref="BC291" si="4345">BC288*BC290</f>
        <v>0</v>
      </c>
      <c r="BD291" s="200">
        <f t="shared" ref="BD291" si="4346">BD288*BD290</f>
        <v>0</v>
      </c>
      <c r="BE291" s="200">
        <f t="shared" ref="BE291" si="4347">BE288*BE290</f>
        <v>0</v>
      </c>
      <c r="BF291" s="200">
        <f t="shared" ref="BF291" si="4348">BF288*BF290</f>
        <v>0</v>
      </c>
      <c r="BG291" s="200">
        <f t="shared" ref="BG291" si="4349">BG288*BG290</f>
        <v>0</v>
      </c>
      <c r="BH291" s="200">
        <f t="shared" ref="BH291" si="4350">BH288*BH290</f>
        <v>0</v>
      </c>
      <c r="BI291" s="200">
        <f t="shared" ref="BI291" si="4351">BI288*BI290</f>
        <v>0</v>
      </c>
      <c r="BJ291" s="200">
        <f t="shared" ref="BJ291" si="4352">BJ288*BJ290</f>
        <v>0</v>
      </c>
      <c r="BK291" s="200">
        <f t="shared" ref="BK291" si="4353">BK288*BK290</f>
        <v>0</v>
      </c>
    </row>
    <row r="292" spans="1:63" ht="7.8" x14ac:dyDescent="0.15">
      <c r="A292" s="206" t="s">
        <v>97</v>
      </c>
      <c r="B292" s="192"/>
      <c r="C292" s="192"/>
      <c r="D292" s="192"/>
      <c r="E292" s="192"/>
      <c r="F292" s="192"/>
      <c r="G292" s="192"/>
      <c r="H292" s="192"/>
      <c r="I292" s="192"/>
      <c r="J292" s="192"/>
      <c r="K292" s="192"/>
      <c r="L292" s="192"/>
      <c r="M292" s="192"/>
      <c r="N292" s="192"/>
      <c r="O292" s="192"/>
      <c r="P292" s="192"/>
      <c r="Q292" s="192"/>
      <c r="R292" s="192"/>
      <c r="S292" s="192"/>
      <c r="T292" s="192"/>
      <c r="U292" s="192"/>
      <c r="V292" s="192"/>
      <c r="W292" s="192"/>
      <c r="X292" s="192"/>
      <c r="Y292" s="192"/>
      <c r="Z292" s="192"/>
      <c r="AA292" s="192"/>
      <c r="AB292" s="192"/>
      <c r="AC292" s="192"/>
      <c r="AD292" s="192"/>
      <c r="AE292" s="192"/>
      <c r="AF292" s="192"/>
      <c r="AG292" s="192"/>
      <c r="AH292" s="192"/>
      <c r="AI292" s="223">
        <f>AI289*AI290</f>
        <v>141.20029474529341</v>
      </c>
      <c r="AJ292" s="200">
        <f>AJ289*AJ290</f>
        <v>143.23375548999405</v>
      </c>
      <c r="AK292" s="200">
        <f t="shared" ref="AK292:BK292" si="4354">AK289*AK290</f>
        <v>145.29650061124437</v>
      </c>
      <c r="AL292" s="200">
        <f t="shared" si="4354"/>
        <v>147.38895184067201</v>
      </c>
      <c r="AM292" s="200">
        <f t="shared" si="4354"/>
        <v>89.706922190020492</v>
      </c>
      <c r="AN292" s="200">
        <f t="shared" si="4354"/>
        <v>90.998814003209532</v>
      </c>
      <c r="AO292" s="200">
        <f t="shared" si="4354"/>
        <v>92.309310673373233</v>
      </c>
      <c r="AP292" s="200">
        <f t="shared" si="4354"/>
        <v>93.638680133708149</v>
      </c>
      <c r="AQ292" s="200">
        <f t="shared" si="4354"/>
        <v>94.987194175983703</v>
      </c>
      <c r="AR292" s="200">
        <f t="shared" si="4354"/>
        <v>96.355128506110589</v>
      </c>
      <c r="AS292" s="200">
        <f t="shared" si="4354"/>
        <v>97.742762800509212</v>
      </c>
      <c r="AT292" s="200">
        <f t="shared" si="4354"/>
        <v>99.150380763290045</v>
      </c>
      <c r="AU292" s="200">
        <f t="shared" si="4354"/>
        <v>100.57827018425736</v>
      </c>
      <c r="AV292" s="200">
        <f t="shared" si="4354"/>
        <v>102.02672299774841</v>
      </c>
      <c r="AW292" s="200">
        <f t="shared" si="4354"/>
        <v>103.49603534231974</v>
      </c>
      <c r="AX292" s="200">
        <f t="shared" si="4354"/>
        <v>104.98650762129331</v>
      </c>
      <c r="AY292" s="200">
        <f t="shared" si="4354"/>
        <v>106.49844456417448</v>
      </c>
      <c r="AZ292" s="200">
        <f t="shared" si="4354"/>
        <v>108.0321552889543</v>
      </c>
      <c r="BA292" s="200">
        <f t="shared" si="4354"/>
        <v>109.58795336530935</v>
      </c>
      <c r="BB292" s="200">
        <f t="shared" si="4354"/>
        <v>0</v>
      </c>
      <c r="BC292" s="200">
        <f t="shared" si="4354"/>
        <v>0</v>
      </c>
      <c r="BD292" s="200">
        <f t="shared" si="4354"/>
        <v>0</v>
      </c>
      <c r="BE292" s="200">
        <f t="shared" si="4354"/>
        <v>0</v>
      </c>
      <c r="BF292" s="200">
        <f t="shared" si="4354"/>
        <v>0</v>
      </c>
      <c r="BG292" s="200">
        <f t="shared" si="4354"/>
        <v>0</v>
      </c>
      <c r="BH292" s="200">
        <f t="shared" si="4354"/>
        <v>0</v>
      </c>
      <c r="BI292" s="200">
        <f t="shared" si="4354"/>
        <v>0</v>
      </c>
      <c r="BJ292" s="200">
        <f t="shared" si="4354"/>
        <v>0</v>
      </c>
      <c r="BK292" s="200">
        <f t="shared" si="4354"/>
        <v>0</v>
      </c>
    </row>
    <row r="293" spans="1:63" ht="7.8" x14ac:dyDescent="0.15">
      <c r="A293" s="208" t="s">
        <v>203</v>
      </c>
      <c r="B293" s="192"/>
      <c r="C293" s="192"/>
      <c r="D293" s="192"/>
      <c r="E293" s="192"/>
      <c r="F293" s="192"/>
      <c r="G293" s="192"/>
      <c r="H293" s="192"/>
      <c r="I293" s="192"/>
      <c r="J293" s="192"/>
      <c r="K293" s="192"/>
      <c r="L293" s="192"/>
      <c r="M293" s="192"/>
      <c r="N293" s="192"/>
      <c r="O293" s="192"/>
      <c r="P293" s="192"/>
      <c r="Q293" s="192"/>
      <c r="R293" s="192"/>
      <c r="S293" s="192"/>
      <c r="T293" s="192"/>
      <c r="U293" s="192"/>
      <c r="V293" s="192"/>
      <c r="W293" s="192"/>
      <c r="X293" s="192"/>
      <c r="Y293" s="192"/>
      <c r="Z293" s="192"/>
      <c r="AA293" s="192"/>
      <c r="AB293" s="192"/>
      <c r="AC293" s="192"/>
      <c r="AD293" s="192"/>
      <c r="AE293" s="192"/>
      <c r="AF293" s="192"/>
      <c r="AG293" s="192"/>
      <c r="AH293" s="192"/>
      <c r="AI293" s="224">
        <f>IF(AI285-101&lt;&gt;LoanSaleHeld,0,SUM($D292:AI292)*LoanSalePercent)</f>
        <v>0</v>
      </c>
      <c r="AJ293" s="225">
        <f>IF(AJ285-101&lt;&gt;LoanSaleHeld,0,SUM($D292:AJ292)*LoanSalePercent)</f>
        <v>0</v>
      </c>
      <c r="AK293" s="225">
        <f>IF(AK285-101&lt;&gt;LoanSaleHeld,0,SUM($D292:AK292)*LoanSalePercent)</f>
        <v>0</v>
      </c>
      <c r="AL293" s="225">
        <f>IF(AL285-101&lt;&gt;LoanSaleHeld,0,SUM($D292:AL292)*LoanSalePercent)</f>
        <v>230.84780107488154</v>
      </c>
      <c r="AM293" s="225">
        <f>IF(AM285-101&lt;&gt;LoanSaleHeld,0,SUM($D292:AM292)*LoanSalePercent)</f>
        <v>0</v>
      </c>
      <c r="AN293" s="225">
        <f>IF(AN285-101&lt;&gt;LoanSaleHeld,0,SUM($D292:AN292)*LoanSalePercent)</f>
        <v>0</v>
      </c>
      <c r="AO293" s="225">
        <f>IF(AO285-101&lt;&gt;LoanSaleHeld,0,SUM($D292:AO292)*LoanSalePercent)</f>
        <v>0</v>
      </c>
      <c r="AP293" s="225">
        <f>IF(AP285-101&lt;&gt;LoanSaleHeld,0,SUM($D292:AP292)*LoanSalePercent)</f>
        <v>0</v>
      </c>
      <c r="AQ293" s="225">
        <f>IF(AQ285-101&lt;&gt;LoanSaleHeld,0,SUM($D292:AQ292)*LoanSalePercent)</f>
        <v>0</v>
      </c>
      <c r="AR293" s="225">
        <f>IF(AR285-101&lt;&gt;LoanSaleHeld,0,SUM($D292:AR292)*LoanSalePercent)</f>
        <v>0</v>
      </c>
      <c r="AS293" s="225">
        <f>IF(AS285-101&lt;&gt;LoanSaleHeld,0,SUM($D292:AS292)*LoanSalePercent)</f>
        <v>0</v>
      </c>
      <c r="AT293" s="225">
        <f>IF(AT285-101&lt;&gt;LoanSaleHeld,0,SUM($D292:AT292)*LoanSalePercent)</f>
        <v>0</v>
      </c>
      <c r="AU293" s="225">
        <f>IF(AU285-101&lt;&gt;LoanSaleHeld,0,SUM($D292:AU292)*LoanSalePercent)</f>
        <v>0</v>
      </c>
      <c r="AV293" s="225">
        <f>IF(AV285-101&lt;&gt;LoanSaleHeld,0,SUM($D292:AV292)*LoanSalePercent)</f>
        <v>0</v>
      </c>
      <c r="AW293" s="225">
        <f>IF(AW285-101&lt;&gt;LoanSaleHeld,0,SUM($D292:AW292)*LoanSalePercent)</f>
        <v>0</v>
      </c>
      <c r="AX293" s="225">
        <f>IF(AX285-101&lt;&gt;LoanSaleHeld,0,SUM($D292:AX292)*LoanSalePercent)</f>
        <v>0</v>
      </c>
      <c r="AY293" s="225">
        <f>IF(AY285-101&lt;&gt;LoanSaleHeld,0,SUM($D292:AY292)*LoanSalePercent)</f>
        <v>0</v>
      </c>
      <c r="AZ293" s="225">
        <f>IF(AZ285-101&lt;&gt;LoanSaleHeld,0,SUM($D292:AZ292)*LoanSalePercent)</f>
        <v>0</v>
      </c>
      <c r="BA293" s="225">
        <f>IF(BA285-101&lt;&gt;LoanSaleHeld,0,SUM($D292:BA292)*LoanSalePercent)</f>
        <v>0</v>
      </c>
      <c r="BB293" s="225">
        <f>IF(BB285-101&lt;&gt;LoanSaleHeld,0,SUM($D292:BB292)*LoanSalePercent)</f>
        <v>0</v>
      </c>
      <c r="BC293" s="225">
        <f>IF(BC285-101&lt;&gt;LoanSaleHeld,0,SUM($D292:BC292)*LoanSalePercent)</f>
        <v>0</v>
      </c>
      <c r="BD293" s="225">
        <f>IF(BD285-101&lt;&gt;LoanSaleHeld,0,SUM($D292:BD292)*LoanSalePercent)</f>
        <v>0</v>
      </c>
      <c r="BE293" s="225">
        <f>IF(BE285-101&lt;&gt;LoanSaleHeld,0,SUM($D292:BE292)*LoanSalePercent)</f>
        <v>0</v>
      </c>
      <c r="BF293" s="225">
        <f>IF(BF285-101&lt;&gt;LoanSaleHeld,0,SUM($D292:BF292)*LoanSalePercent)</f>
        <v>0</v>
      </c>
      <c r="BG293" s="225">
        <f>IF(BG285-101&lt;&gt;LoanSaleHeld,0,SUM($D292:BG292)*LoanSalePercent)</f>
        <v>0</v>
      </c>
      <c r="BH293" s="225">
        <f>IF(BH285-101&lt;&gt;LoanSaleHeld,0,SUM($D292:BH292)*LoanSalePercent)</f>
        <v>0</v>
      </c>
      <c r="BI293" s="225">
        <f>IF(BI285-101&lt;&gt;LoanSaleHeld,0,SUM($D292:BI292)*LoanSalePercent)</f>
        <v>0</v>
      </c>
      <c r="BJ293" s="225">
        <f>IF(BJ285-101&lt;&gt;LoanSaleHeld,0,SUM($D292:BJ292)*LoanSalePercent)</f>
        <v>0</v>
      </c>
      <c r="BK293" s="225">
        <f>IF(BK285-101&lt;&gt;LoanSaleHeld,0,SUM($D292:BK292)*LoanSalePercent)</f>
        <v>0</v>
      </c>
    </row>
    <row r="294" spans="1:63" ht="7.8" x14ac:dyDescent="0.15">
      <c r="A294" s="204">
        <f t="shared" ref="A294" si="4355">A285+1</f>
        <v>33</v>
      </c>
      <c r="B294" s="192"/>
      <c r="C294" s="192"/>
      <c r="D294" s="192"/>
      <c r="E294" s="192"/>
      <c r="F294" s="192"/>
      <c r="G294" s="192"/>
      <c r="H294" s="192"/>
      <c r="I294" s="192"/>
      <c r="J294" s="192"/>
      <c r="K294" s="192"/>
      <c r="L294" s="192"/>
      <c r="M294" s="192"/>
      <c r="N294" s="192"/>
      <c r="O294" s="192"/>
      <c r="P294" s="192"/>
      <c r="Q294" s="192"/>
      <c r="R294" s="192"/>
      <c r="S294" s="192"/>
      <c r="T294" s="192"/>
      <c r="U294" s="192"/>
      <c r="V294" s="192"/>
      <c r="W294" s="192"/>
      <c r="X294" s="192"/>
      <c r="Y294" s="192"/>
      <c r="Z294" s="192"/>
      <c r="AA294" s="192"/>
      <c r="AB294" s="192"/>
      <c r="AC294" s="192"/>
      <c r="AD294" s="192"/>
      <c r="AE294" s="192"/>
      <c r="AF294" s="192"/>
      <c r="AG294" s="192"/>
      <c r="AH294" s="192"/>
      <c r="AI294" s="192"/>
      <c r="AJ294" s="195">
        <v>101</v>
      </c>
      <c r="AK294" s="196">
        <f t="shared" ref="AK294" si="4356">IF(AK295=0,0,AJ294+1)</f>
        <v>102</v>
      </c>
      <c r="AL294" s="196">
        <f t="shared" ref="AL294" si="4357">IF(AL295=0,0,AK294+1)</f>
        <v>103</v>
      </c>
      <c r="AM294" s="196">
        <f t="shared" ref="AM294" si="4358">IF(AM295=0,0,AL294+1)</f>
        <v>104</v>
      </c>
      <c r="AN294" s="196">
        <f t="shared" ref="AN294" si="4359">IF(AN295=0,0,AM294+1)</f>
        <v>105</v>
      </c>
      <c r="AO294" s="196">
        <f t="shared" ref="AO294" si="4360">IF(AO295=0,0,AN294+1)</f>
        <v>106</v>
      </c>
      <c r="AP294" s="196">
        <f t="shared" ref="AP294" si="4361">IF(AP295=0,0,AO294+1)</f>
        <v>107</v>
      </c>
      <c r="AQ294" s="196">
        <f t="shared" ref="AQ294" si="4362">IF(AQ295=0,0,AP294+1)</f>
        <v>108</v>
      </c>
      <c r="AR294" s="196">
        <f t="shared" ref="AR294" si="4363">IF(AR295=0,0,AQ294+1)</f>
        <v>109</v>
      </c>
      <c r="AS294" s="196">
        <f t="shared" ref="AS294" si="4364">IF(AS295=0,0,AR294+1)</f>
        <v>110</v>
      </c>
      <c r="AT294" s="196">
        <f t="shared" ref="AT294" si="4365">IF(AT295=0,0,AS294+1)</f>
        <v>111</v>
      </c>
      <c r="AU294" s="196">
        <f t="shared" ref="AU294" si="4366">IF(AU295=0,0,AT294+1)</f>
        <v>112</v>
      </c>
      <c r="AV294" s="196">
        <f t="shared" ref="AV294" si="4367">IF(AV295=0,0,AU294+1)</f>
        <v>113</v>
      </c>
      <c r="AW294" s="196">
        <f t="shared" ref="AW294" si="4368">IF(AW295=0,0,AV294+1)</f>
        <v>114</v>
      </c>
      <c r="AX294" s="196">
        <f t="shared" ref="AX294" si="4369">IF(AX295=0,0,AW294+1)</f>
        <v>115</v>
      </c>
      <c r="AY294" s="196">
        <f t="shared" ref="AY294" si="4370">IF(AY295=0,0,AX294+1)</f>
        <v>116</v>
      </c>
      <c r="AZ294" s="196">
        <f t="shared" ref="AZ294" si="4371">IF(AZ295=0,0,AY294+1)</f>
        <v>117</v>
      </c>
      <c r="BA294" s="196">
        <f t="shared" ref="BA294" si="4372">IF(BA295=0,0,AZ294+1)</f>
        <v>118</v>
      </c>
      <c r="BB294" s="196">
        <f t="shared" ref="BB294" si="4373">IF(BB295=0,0,BA294+1)</f>
        <v>119</v>
      </c>
      <c r="BC294" s="196">
        <f t="shared" ref="BC294" si="4374">IF(BC295=0,0,BB294+1)</f>
        <v>0</v>
      </c>
      <c r="BD294" s="196">
        <f t="shared" ref="BD294" si="4375">IF(BD295=0,0,BC294+1)</f>
        <v>0</v>
      </c>
      <c r="BE294" s="196">
        <f t="shared" ref="BE294" si="4376">IF(BE295=0,0,BD294+1)</f>
        <v>0</v>
      </c>
      <c r="BF294" s="196">
        <f t="shared" ref="BF294" si="4377">IF(BF295=0,0,BE294+1)</f>
        <v>0</v>
      </c>
      <c r="BG294" s="196">
        <f t="shared" ref="BG294" si="4378">IF(BG295=0,0,BF294+1)</f>
        <v>0</v>
      </c>
      <c r="BH294" s="196">
        <f t="shared" ref="BH294" si="4379">IF(BH295=0,0,BG294+1)</f>
        <v>0</v>
      </c>
      <c r="BI294" s="196">
        <f t="shared" ref="BI294" si="4380">IF(BI295=0,0,BH294+1)</f>
        <v>0</v>
      </c>
      <c r="BJ294" s="196">
        <f t="shared" ref="BJ294" si="4381">IF(BJ295=0,0,BI294+1)</f>
        <v>0</v>
      </c>
      <c r="BK294" s="196">
        <f t="shared" ref="BK294" si="4382">IF(BK295=0,0,BJ294+1)</f>
        <v>0</v>
      </c>
    </row>
    <row r="295" spans="1:63" ht="7.8" x14ac:dyDescent="0.15">
      <c r="A295" s="216" t="s">
        <v>178</v>
      </c>
      <c r="B295" s="192"/>
      <c r="C295" s="192"/>
      <c r="D295" s="192"/>
      <c r="E295" s="192"/>
      <c r="F295" s="192"/>
      <c r="G295" s="192"/>
      <c r="H295" s="192"/>
      <c r="I295" s="192"/>
      <c r="J295" s="192"/>
      <c r="K295" s="192"/>
      <c r="L295" s="192"/>
      <c r="M295" s="192"/>
      <c r="N295" s="192"/>
      <c r="O295" s="192"/>
      <c r="P295" s="192"/>
      <c r="Q295" s="192"/>
      <c r="R295" s="192"/>
      <c r="S295" s="192"/>
      <c r="T295" s="192"/>
      <c r="U295" s="192"/>
      <c r="V295" s="192"/>
      <c r="W295" s="192"/>
      <c r="X295" s="192"/>
      <c r="Y295" s="192"/>
      <c r="Z295" s="192"/>
      <c r="AA295" s="192"/>
      <c r="AB295" s="192"/>
      <c r="AC295" s="192"/>
      <c r="AD295" s="192"/>
      <c r="AE295" s="192"/>
      <c r="AF295" s="192"/>
      <c r="AG295" s="192"/>
      <c r="AH295" s="192"/>
      <c r="AI295" s="192"/>
      <c r="AJ295" s="217">
        <f>LoanSize</f>
        <v>25</v>
      </c>
      <c r="AK295" s="215">
        <f>IF(AJ295-AJ298&lt;=0.1,0,AJ295-AJ298)</f>
        <v>23.79027212253634</v>
      </c>
      <c r="AL295" s="215">
        <f t="shared" ref="AL295:BK295" si="4383">IF(AK295-AK298&lt;=0.1,0,AK295-AK298)</f>
        <v>22.56189427362845</v>
      </c>
      <c r="AM295" s="215">
        <f t="shared" si="4383"/>
        <v>21.314578932883229</v>
      </c>
      <c r="AN295" s="215">
        <f t="shared" si="4383"/>
        <v>20.048034147301522</v>
      </c>
      <c r="AO295" s="215">
        <f t="shared" si="4383"/>
        <v>18.761963462942095</v>
      </c>
      <c r="AP295" s="215">
        <f t="shared" si="4383"/>
        <v>17.456065855532128</v>
      </c>
      <c r="AQ295" s="215">
        <f t="shared" si="4383"/>
        <v>16.130035660007923</v>
      </c>
      <c r="AR295" s="215">
        <f t="shared" si="4383"/>
        <v>14.783562498969387</v>
      </c>
      <c r="AS295" s="215">
        <f t="shared" si="4383"/>
        <v>13.416331210031506</v>
      </c>
      <c r="AT295" s="215">
        <f t="shared" si="4383"/>
        <v>12.028021772055833</v>
      </c>
      <c r="AU295" s="215">
        <f t="shared" si="4383"/>
        <v>10.618309230244702</v>
      </c>
      <c r="AV295" s="215">
        <f t="shared" si="4383"/>
        <v>9.1868636200806488</v>
      </c>
      <c r="AW295" s="215">
        <f t="shared" si="4383"/>
        <v>7.7333498900932334</v>
      </c>
      <c r="AX295" s="215">
        <f t="shared" si="4383"/>
        <v>6.2574278234351794</v>
      </c>
      <c r="AY295" s="215">
        <f t="shared" si="4383"/>
        <v>4.7587519582494799</v>
      </c>
      <c r="AZ295" s="215">
        <f t="shared" si="4383"/>
        <v>3.2369715068088345</v>
      </c>
      <c r="BA295" s="215">
        <f t="shared" si="4383"/>
        <v>1.6917302734084789</v>
      </c>
      <c r="BB295" s="215">
        <f t="shared" si="4383"/>
        <v>0.12266657099320111</v>
      </c>
      <c r="BC295" s="215">
        <f t="shared" si="4383"/>
        <v>0</v>
      </c>
      <c r="BD295" s="215">
        <f t="shared" si="4383"/>
        <v>0</v>
      </c>
      <c r="BE295" s="215">
        <f t="shared" si="4383"/>
        <v>0</v>
      </c>
      <c r="BF295" s="215">
        <f t="shared" si="4383"/>
        <v>0</v>
      </c>
      <c r="BG295" s="215">
        <f t="shared" si="4383"/>
        <v>0</v>
      </c>
      <c r="BH295" s="215">
        <f t="shared" si="4383"/>
        <v>0</v>
      </c>
      <c r="BI295" s="215">
        <f t="shared" si="4383"/>
        <v>0</v>
      </c>
      <c r="BJ295" s="215">
        <f t="shared" si="4383"/>
        <v>0</v>
      </c>
      <c r="BK295" s="215">
        <f t="shared" si="4383"/>
        <v>0</v>
      </c>
    </row>
    <row r="296" spans="1:63" ht="7.8" x14ac:dyDescent="0.15">
      <c r="A296" s="218" t="s">
        <v>179</v>
      </c>
      <c r="B296" s="192"/>
      <c r="C296" s="192"/>
      <c r="D296" s="192"/>
      <c r="E296" s="192"/>
      <c r="F296" s="192"/>
      <c r="G296" s="192"/>
      <c r="H296" s="192"/>
      <c r="I296" s="192"/>
      <c r="J296" s="192"/>
      <c r="K296" s="192"/>
      <c r="L296" s="192"/>
      <c r="M296" s="192"/>
      <c r="N296" s="192"/>
      <c r="O296" s="192"/>
      <c r="P296" s="192"/>
      <c r="Q296" s="192"/>
      <c r="R296" s="192"/>
      <c r="S296" s="192"/>
      <c r="T296" s="192"/>
      <c r="U296" s="192"/>
      <c r="V296" s="192"/>
      <c r="W296" s="192"/>
      <c r="X296" s="192"/>
      <c r="Y296" s="192"/>
      <c r="Z296" s="192"/>
      <c r="AA296" s="192"/>
      <c r="AB296" s="192"/>
      <c r="AC296" s="192"/>
      <c r="AD296" s="192"/>
      <c r="AE296" s="192"/>
      <c r="AF296" s="192"/>
      <c r="AG296" s="192"/>
      <c r="AH296" s="192"/>
      <c r="AI296" s="192"/>
      <c r="AJ296" s="219">
        <f>IF(AJ295=0,0,PMT(INDEX(LoanCohortRate,1),LoanTerm, -LoanSize))</f>
        <v>1.5951445441303251</v>
      </c>
      <c r="AK296" s="222">
        <f t="shared" ref="AK296" si="4384">IF(AK295=0,0, AJ296)</f>
        <v>1.5951445441303251</v>
      </c>
      <c r="AL296" s="222">
        <f t="shared" ref="AL296" si="4385">IF(AL295=0,0, AK296)</f>
        <v>1.5951445441303251</v>
      </c>
      <c r="AM296" s="222">
        <f t="shared" ref="AM296" si="4386">IF(AM295=0,0, AL296)</f>
        <v>1.5951445441303251</v>
      </c>
      <c r="AN296" s="222">
        <f t="shared" ref="AN296" si="4387">IF(AN295=0,0, AM296)</f>
        <v>1.5951445441303251</v>
      </c>
      <c r="AO296" s="222">
        <f t="shared" ref="AO296" si="4388">IF(AO295=0,0, AN296)</f>
        <v>1.5951445441303251</v>
      </c>
      <c r="AP296" s="222">
        <f t="shared" ref="AP296" si="4389">IF(AP295=0,0, AO296)</f>
        <v>1.5951445441303251</v>
      </c>
      <c r="AQ296" s="222">
        <f t="shared" ref="AQ296" si="4390">IF(AQ295=0,0, AP296)</f>
        <v>1.5951445441303251</v>
      </c>
      <c r="AR296" s="222">
        <f t="shared" ref="AR296" si="4391">IF(AR295=0,0, AQ296)</f>
        <v>1.5951445441303251</v>
      </c>
      <c r="AS296" s="222">
        <f t="shared" ref="AS296" si="4392">IF(AS295=0,0, AR296)</f>
        <v>1.5951445441303251</v>
      </c>
      <c r="AT296" s="222">
        <f t="shared" ref="AT296" si="4393">IF(AT295=0,0, AS296)</f>
        <v>1.5951445441303251</v>
      </c>
      <c r="AU296" s="222">
        <f t="shared" ref="AU296" si="4394">IF(AU295=0,0, AT296)</f>
        <v>1.5951445441303251</v>
      </c>
      <c r="AV296" s="222">
        <f t="shared" ref="AV296" si="4395">IF(AV295=0,0, AU296)</f>
        <v>1.5951445441303251</v>
      </c>
      <c r="AW296" s="222">
        <f t="shared" ref="AW296" si="4396">IF(AW295=0,0, AV296)</f>
        <v>1.5951445441303251</v>
      </c>
      <c r="AX296" s="222">
        <f t="shared" ref="AX296" si="4397">IF(AX295=0,0, AW296)</f>
        <v>1.5951445441303251</v>
      </c>
      <c r="AY296" s="222">
        <f t="shared" ref="AY296" si="4398">IF(AY295=0,0, AX296)</f>
        <v>1.5951445441303251</v>
      </c>
      <c r="AZ296" s="222">
        <f t="shared" ref="AZ296" si="4399">IF(AZ295=0,0, AY296)</f>
        <v>1.5951445441303251</v>
      </c>
      <c r="BA296" s="222">
        <f t="shared" ref="BA296" si="4400">IF(BA295=0,0, AZ296)</f>
        <v>1.5951445441303251</v>
      </c>
      <c r="BB296" s="222">
        <f t="shared" ref="BB296" si="4401">IF(BB295=0,0, BA296)</f>
        <v>1.5951445441303251</v>
      </c>
      <c r="BC296" s="222">
        <f t="shared" ref="BC296" si="4402">IF(BC295=0,0, BB296)</f>
        <v>0</v>
      </c>
      <c r="BD296" s="222">
        <f t="shared" ref="BD296" si="4403">IF(BD295=0,0, BC296)</f>
        <v>0</v>
      </c>
      <c r="BE296" s="222">
        <f t="shared" ref="BE296" si="4404">IF(BE295=0,0, BD296)</f>
        <v>0</v>
      </c>
      <c r="BF296" s="222">
        <f t="shared" ref="BF296" si="4405">IF(BF295=0,0, BE296)</f>
        <v>0</v>
      </c>
      <c r="BG296" s="222">
        <f t="shared" ref="BG296" si="4406">IF(BG295=0,0, BF296)</f>
        <v>0</v>
      </c>
      <c r="BH296" s="222">
        <f t="shared" ref="BH296" si="4407">IF(BH295=0,0, BG296)</f>
        <v>0</v>
      </c>
      <c r="BI296" s="222">
        <f t="shared" ref="BI296" si="4408">IF(BI295=0,0, BH296)</f>
        <v>0</v>
      </c>
      <c r="BJ296" s="222">
        <f t="shared" ref="BJ296" si="4409">IF(BJ295=0,0, BI296)</f>
        <v>0</v>
      </c>
      <c r="BK296" s="222">
        <f t="shared" ref="BK296" si="4410">IF(BK295=0,0, BJ296)</f>
        <v>0</v>
      </c>
    </row>
    <row r="297" spans="1:63" ht="7.8" x14ac:dyDescent="0.15">
      <c r="A297" s="218" t="s">
        <v>180</v>
      </c>
      <c r="B297" s="192"/>
      <c r="C297" s="192"/>
      <c r="D297" s="192"/>
      <c r="E297" s="192"/>
      <c r="F297" s="192"/>
      <c r="G297" s="192"/>
      <c r="H297" s="192"/>
      <c r="I297" s="192"/>
      <c r="J297" s="192"/>
      <c r="K297" s="192"/>
      <c r="L297" s="192"/>
      <c r="M297" s="192"/>
      <c r="N297" s="192"/>
      <c r="O297" s="192"/>
      <c r="P297" s="192"/>
      <c r="Q297" s="192"/>
      <c r="R297" s="192"/>
      <c r="S297" s="192"/>
      <c r="T297" s="192"/>
      <c r="U297" s="192"/>
      <c r="V297" s="192"/>
      <c r="W297" s="192"/>
      <c r="X297" s="192"/>
      <c r="Y297" s="192"/>
      <c r="Z297" s="192"/>
      <c r="AA297" s="192"/>
      <c r="AB297" s="192"/>
      <c r="AC297" s="192"/>
      <c r="AD297" s="192"/>
      <c r="AE297" s="192"/>
      <c r="AF297" s="192"/>
      <c r="AG297" s="192"/>
      <c r="AH297" s="192"/>
      <c r="AI297" s="192"/>
      <c r="AJ297" s="220" cm="1">
        <f t="array" ref="AJ297">AJ295*INDEX(LoanCohortRate,$A294)</f>
        <v>0.38541666666666669</v>
      </c>
      <c r="AK297" s="221" cm="1">
        <f t="array" ref="AK297">AK295*INDEX(LoanCohortRate,$A294)</f>
        <v>0.36676669522243527</v>
      </c>
      <c r="AL297" s="221" cm="1">
        <f t="array" ref="AL297">AL295*INDEX(LoanCohortRate,$A294)</f>
        <v>0.34782920338510526</v>
      </c>
      <c r="AM297" s="221" cm="1">
        <f t="array" ref="AM297">AM295*INDEX(LoanCohortRate,$A294)</f>
        <v>0.32859975854861645</v>
      </c>
      <c r="AN297" s="221" cm="1">
        <f t="array" ref="AN297">AN295*INDEX(LoanCohortRate,$A294)</f>
        <v>0.30907385977089846</v>
      </c>
      <c r="AO297" s="221" cm="1">
        <f t="array" ref="AO297">AO295*INDEX(LoanCohortRate,$A294)</f>
        <v>0.28924693672035728</v>
      </c>
      <c r="AP297" s="221" cm="1">
        <f t="array" ref="AP297">AP295*INDEX(LoanCohortRate,$A294)</f>
        <v>0.26911434860612032</v>
      </c>
      <c r="AQ297" s="221" cm="1">
        <f t="array" ref="AQ297">AQ295*INDEX(LoanCohortRate,$A294)</f>
        <v>0.24867138309178882</v>
      </c>
      <c r="AR297" s="221" cm="1">
        <f t="array" ref="AR297">AR295*INDEX(LoanCohortRate,$A294)</f>
        <v>0.22791325519244471</v>
      </c>
      <c r="AS297" s="221" cm="1">
        <f t="array" ref="AS297">AS295*INDEX(LoanCohortRate,$A294)</f>
        <v>0.20683510615465239</v>
      </c>
      <c r="AT297" s="221" cm="1">
        <f t="array" ref="AT297">AT295*INDEX(LoanCohortRate,$A294)</f>
        <v>0.1854320023191941</v>
      </c>
      <c r="AU297" s="221" cm="1">
        <f t="array" ref="AU297">AU295*INDEX(LoanCohortRate,$A294)</f>
        <v>0.1636989339662725</v>
      </c>
      <c r="AV297" s="221" cm="1">
        <f t="array" ref="AV297">AV295*INDEX(LoanCohortRate,$A294)</f>
        <v>0.14163081414291001</v>
      </c>
      <c r="AW297" s="221" cm="1">
        <f t="array" ref="AW297">AW295*INDEX(LoanCohortRate,$A294)</f>
        <v>0.11922247747227069</v>
      </c>
      <c r="AX297" s="221" cm="1">
        <f t="array" ref="AX297">AX295*INDEX(LoanCohortRate,$A294)</f>
        <v>9.6468678944625685E-2</v>
      </c>
      <c r="AY297" s="221" cm="1">
        <f t="array" ref="AY297">AY295*INDEX(LoanCohortRate,$A294)</f>
        <v>7.3364092689679486E-2</v>
      </c>
      <c r="AZ297" s="221" cm="1">
        <f t="array" ref="AZ297">AZ295*INDEX(LoanCohortRate,$A294)</f>
        <v>4.9903310729969536E-2</v>
      </c>
      <c r="BA297" s="221" cm="1">
        <f t="array" ref="BA297">BA295*INDEX(LoanCohortRate,$A294)</f>
        <v>2.6080841715047383E-2</v>
      </c>
      <c r="BB297" s="221" cm="1">
        <f t="array" ref="BB297">BB295*INDEX(LoanCohortRate,$A294)</f>
        <v>1.8911096361451838E-3</v>
      </c>
      <c r="BC297" s="221" cm="1">
        <f t="array" ref="BC297">BC295*INDEX(LoanCohortRate,$A294)</f>
        <v>0</v>
      </c>
      <c r="BD297" s="221" cm="1">
        <f t="array" ref="BD297">BD295*INDEX(LoanCohortRate,$A294)</f>
        <v>0</v>
      </c>
      <c r="BE297" s="221" cm="1">
        <f t="array" ref="BE297">BE295*INDEX(LoanCohortRate,$A294)</f>
        <v>0</v>
      </c>
      <c r="BF297" s="221" cm="1">
        <f t="array" ref="BF297">BF295*INDEX(LoanCohortRate,$A294)</f>
        <v>0</v>
      </c>
      <c r="BG297" s="221" cm="1">
        <f t="array" ref="BG297">BG295*INDEX(LoanCohortRate,$A294)</f>
        <v>0</v>
      </c>
      <c r="BH297" s="221" cm="1">
        <f t="array" ref="BH297">BH295*INDEX(LoanCohortRate,$A294)</f>
        <v>0</v>
      </c>
      <c r="BI297" s="221" cm="1">
        <f t="array" ref="BI297">BI295*INDEX(LoanCohortRate,$A294)</f>
        <v>0</v>
      </c>
      <c r="BJ297" s="221" cm="1">
        <f t="array" ref="BJ297">BJ295*INDEX(LoanCohortRate,$A294)</f>
        <v>0</v>
      </c>
      <c r="BK297" s="221" cm="1">
        <f t="array" ref="BK297">BK295*INDEX(LoanCohortRate,$A294)</f>
        <v>0</v>
      </c>
    </row>
    <row r="298" spans="1:63" ht="7.8" x14ac:dyDescent="0.15">
      <c r="A298" s="218" t="s">
        <v>177</v>
      </c>
      <c r="B298" s="192"/>
      <c r="C298" s="192"/>
      <c r="D298" s="192"/>
      <c r="E298" s="192"/>
      <c r="F298" s="192"/>
      <c r="G298" s="192"/>
      <c r="H298" s="192"/>
      <c r="I298" s="192"/>
      <c r="J298" s="192"/>
      <c r="K298" s="192"/>
      <c r="L298" s="192"/>
      <c r="M298" s="192"/>
      <c r="N298" s="192"/>
      <c r="O298" s="192"/>
      <c r="P298" s="192"/>
      <c r="Q298" s="192"/>
      <c r="R298" s="192"/>
      <c r="S298" s="192"/>
      <c r="T298" s="192"/>
      <c r="U298" s="192"/>
      <c r="V298" s="192"/>
      <c r="W298" s="192"/>
      <c r="X298" s="192"/>
      <c r="Y298" s="192"/>
      <c r="Z298" s="192"/>
      <c r="AA298" s="192"/>
      <c r="AB298" s="192"/>
      <c r="AC298" s="192"/>
      <c r="AD298" s="192"/>
      <c r="AE298" s="192"/>
      <c r="AF298" s="192"/>
      <c r="AG298" s="192"/>
      <c r="AH298" s="192"/>
      <c r="AI298" s="192"/>
      <c r="AJ298" s="219">
        <f>AJ296-AJ297</f>
        <v>1.2097278774636584</v>
      </c>
      <c r="AK298" s="222">
        <f t="shared" ref="AK298:BK298" si="4411">AK296-AK297</f>
        <v>1.2283778489078898</v>
      </c>
      <c r="AL298" s="222">
        <f t="shared" si="4411"/>
        <v>1.24731534074522</v>
      </c>
      <c r="AM298" s="222">
        <f t="shared" si="4411"/>
        <v>1.2665447855817087</v>
      </c>
      <c r="AN298" s="222">
        <f t="shared" si="4411"/>
        <v>1.2860706843594267</v>
      </c>
      <c r="AO298" s="222">
        <f t="shared" si="4411"/>
        <v>1.305897607409968</v>
      </c>
      <c r="AP298" s="222">
        <f t="shared" si="4411"/>
        <v>1.3260301955242049</v>
      </c>
      <c r="AQ298" s="222">
        <f t="shared" si="4411"/>
        <v>1.3464731610385363</v>
      </c>
      <c r="AR298" s="222">
        <f t="shared" si="4411"/>
        <v>1.3672312889378804</v>
      </c>
      <c r="AS298" s="222">
        <f t="shared" si="4411"/>
        <v>1.3883094379756726</v>
      </c>
      <c r="AT298" s="222">
        <f t="shared" si="4411"/>
        <v>1.4097125418111309</v>
      </c>
      <c r="AU298" s="222">
        <f t="shared" si="4411"/>
        <v>1.4314456101640527</v>
      </c>
      <c r="AV298" s="222">
        <f t="shared" si="4411"/>
        <v>1.453513729987415</v>
      </c>
      <c r="AW298" s="222">
        <f t="shared" si="4411"/>
        <v>1.4759220666580544</v>
      </c>
      <c r="AX298" s="222">
        <f t="shared" si="4411"/>
        <v>1.4986758651856995</v>
      </c>
      <c r="AY298" s="222">
        <f t="shared" si="4411"/>
        <v>1.5217804514406457</v>
      </c>
      <c r="AZ298" s="222">
        <f t="shared" si="4411"/>
        <v>1.5452412334003556</v>
      </c>
      <c r="BA298" s="222">
        <f t="shared" si="4411"/>
        <v>1.5690637024152778</v>
      </c>
      <c r="BB298" s="222">
        <f t="shared" si="4411"/>
        <v>1.59325343449418</v>
      </c>
      <c r="BC298" s="222">
        <f t="shared" si="4411"/>
        <v>0</v>
      </c>
      <c r="BD298" s="222">
        <f t="shared" si="4411"/>
        <v>0</v>
      </c>
      <c r="BE298" s="222">
        <f t="shared" si="4411"/>
        <v>0</v>
      </c>
      <c r="BF298" s="222">
        <f t="shared" si="4411"/>
        <v>0</v>
      </c>
      <c r="BG298" s="222">
        <f t="shared" si="4411"/>
        <v>0</v>
      </c>
      <c r="BH298" s="222">
        <f t="shared" si="4411"/>
        <v>0</v>
      </c>
      <c r="BI298" s="222">
        <f t="shared" si="4411"/>
        <v>0</v>
      </c>
      <c r="BJ298" s="222">
        <f t="shared" si="4411"/>
        <v>0</v>
      </c>
      <c r="BK298" s="222">
        <f t="shared" si="4411"/>
        <v>0</v>
      </c>
    </row>
    <row r="299" spans="1:63" ht="7.8" x14ac:dyDescent="0.15">
      <c r="A299" s="205" t="s">
        <v>7</v>
      </c>
      <c r="B299" s="192"/>
      <c r="C299" s="192"/>
      <c r="D299" s="192"/>
      <c r="E299" s="192"/>
      <c r="F299" s="192"/>
      <c r="G299" s="192"/>
      <c r="H299" s="192"/>
      <c r="I299" s="192"/>
      <c r="J299" s="192"/>
      <c r="K299" s="192"/>
      <c r="L299" s="192"/>
      <c r="M299" s="192"/>
      <c r="N299" s="192"/>
      <c r="O299" s="192"/>
      <c r="P299" s="192"/>
      <c r="Q299" s="192"/>
      <c r="R299" s="192"/>
      <c r="S299" s="192"/>
      <c r="T299" s="192"/>
      <c r="U299" s="192"/>
      <c r="V299" s="192"/>
      <c r="W299" s="192"/>
      <c r="X299" s="192"/>
      <c r="Y299" s="192"/>
      <c r="Z299" s="192"/>
      <c r="AA299" s="192"/>
      <c r="AB299" s="192"/>
      <c r="AC299" s="192"/>
      <c r="AD299" s="192"/>
      <c r="AE299" s="192"/>
      <c r="AF299" s="192"/>
      <c r="AG299" s="192"/>
      <c r="AH299" s="192"/>
      <c r="AI299" s="192"/>
      <c r="AJ299" s="214" cm="1">
        <f t="array" ref="AJ299">INDEX(LoanOriginations,$A294)</f>
        <v>117.30431187263673</v>
      </c>
      <c r="AK299" s="199">
        <f t="shared" ref="AK299:BK299" si="4412">AJ299*(1-MitigateDelinquency*MitigateChargeoff)  *  IF(AK294=0,0,IF(AK294-102=LoanSaleHeld,0.6,1))</f>
        <v>117.1870075607641</v>
      </c>
      <c r="AL299" s="199">
        <f t="shared" si="4412"/>
        <v>117.06982055320334</v>
      </c>
      <c r="AM299" s="199">
        <f t="shared" si="4412"/>
        <v>116.95275073265014</v>
      </c>
      <c r="AN299" s="199">
        <f t="shared" si="4412"/>
        <v>70.101478789150491</v>
      </c>
      <c r="AO299" s="199">
        <f t="shared" si="4412"/>
        <v>70.031377310361336</v>
      </c>
      <c r="AP299" s="199">
        <f t="shared" si="4412"/>
        <v>69.961345933050978</v>
      </c>
      <c r="AQ299" s="199">
        <f t="shared" si="4412"/>
        <v>69.891384587117926</v>
      </c>
      <c r="AR299" s="199">
        <f t="shared" si="4412"/>
        <v>69.821493202530803</v>
      </c>
      <c r="AS299" s="199">
        <f t="shared" si="4412"/>
        <v>69.751671709328278</v>
      </c>
      <c r="AT299" s="199">
        <f t="shared" si="4412"/>
        <v>69.681920037618951</v>
      </c>
      <c r="AU299" s="199">
        <f t="shared" si="4412"/>
        <v>69.612238117581327</v>
      </c>
      <c r="AV299" s="199">
        <f t="shared" si="4412"/>
        <v>69.542625879463742</v>
      </c>
      <c r="AW299" s="199">
        <f t="shared" si="4412"/>
        <v>69.473083253584278</v>
      </c>
      <c r="AX299" s="199">
        <f t="shared" si="4412"/>
        <v>69.403610170330694</v>
      </c>
      <c r="AY299" s="199">
        <f t="shared" si="4412"/>
        <v>69.334206560160368</v>
      </c>
      <c r="AZ299" s="199">
        <f t="shared" si="4412"/>
        <v>69.264872353600211</v>
      </c>
      <c r="BA299" s="199">
        <f t="shared" si="4412"/>
        <v>69.195607481246611</v>
      </c>
      <c r="BB299" s="199">
        <f t="shared" si="4412"/>
        <v>69.126411873765363</v>
      </c>
      <c r="BC299" s="199">
        <f t="shared" si="4412"/>
        <v>0</v>
      </c>
      <c r="BD299" s="199">
        <f t="shared" si="4412"/>
        <v>0</v>
      </c>
      <c r="BE299" s="199">
        <f t="shared" si="4412"/>
        <v>0</v>
      </c>
      <c r="BF299" s="199">
        <f t="shared" si="4412"/>
        <v>0</v>
      </c>
      <c r="BG299" s="199">
        <f t="shared" si="4412"/>
        <v>0</v>
      </c>
      <c r="BH299" s="199">
        <f t="shared" si="4412"/>
        <v>0</v>
      </c>
      <c r="BI299" s="199">
        <f t="shared" si="4412"/>
        <v>0</v>
      </c>
      <c r="BJ299" s="199">
        <f t="shared" si="4412"/>
        <v>0</v>
      </c>
      <c r="BK299" s="199">
        <f t="shared" si="4412"/>
        <v>0</v>
      </c>
    </row>
    <row r="300" spans="1:63" ht="7.8" x14ac:dyDescent="0.15">
      <c r="A300" s="207" t="s">
        <v>96</v>
      </c>
      <c r="B300" s="192"/>
      <c r="C300" s="192"/>
      <c r="D300" s="192"/>
      <c r="E300" s="192"/>
      <c r="F300" s="192"/>
      <c r="G300" s="192"/>
      <c r="H300" s="192"/>
      <c r="I300" s="192"/>
      <c r="J300" s="192"/>
      <c r="K300" s="192"/>
      <c r="L300" s="192"/>
      <c r="M300" s="192"/>
      <c r="N300" s="192"/>
      <c r="O300" s="192"/>
      <c r="P300" s="192"/>
      <c r="Q300" s="192"/>
      <c r="R300" s="192"/>
      <c r="S300" s="192"/>
      <c r="T300" s="192"/>
      <c r="U300" s="192"/>
      <c r="V300" s="192"/>
      <c r="W300" s="192"/>
      <c r="X300" s="192"/>
      <c r="Y300" s="192"/>
      <c r="Z300" s="192"/>
      <c r="AA300" s="192"/>
      <c r="AB300" s="192"/>
      <c r="AC300" s="192"/>
      <c r="AD300" s="192"/>
      <c r="AE300" s="192"/>
      <c r="AF300" s="192"/>
      <c r="AG300" s="192"/>
      <c r="AH300" s="192"/>
      <c r="AI300" s="192"/>
      <c r="AJ300" s="223">
        <f>AJ297*AJ299</f>
        <v>45.211036867578741</v>
      </c>
      <c r="AK300" s="200">
        <f t="shared" ref="AK300" si="4413">AK297*AK299</f>
        <v>42.980291486067983</v>
      </c>
      <c r="AL300" s="200">
        <f t="shared" ref="AL300" si="4414">AL297*AL299</f>
        <v>40.720302423457944</v>
      </c>
      <c r="AM300" s="200">
        <f t="shared" ref="AM300" si="4415">AM297*AM299</f>
        <v>38.430645652345362</v>
      </c>
      <c r="AN300" s="200">
        <f t="shared" ref="AN300" si="4416">AN297*AN299</f>
        <v>21.666534625010513</v>
      </c>
      <c r="AO300" s="200">
        <f t="shared" ref="AO300" si="4417">AO297*AO299</f>
        <v>20.256361361329549</v>
      </c>
      <c r="AP300" s="200">
        <f t="shared" ref="AP300" si="4418">AP297*AP299</f>
        <v>18.827602038380459</v>
      </c>
      <c r="AQ300" s="200">
        <f t="shared" ref="AQ300" si="4419">AQ297*AQ299</f>
        <v>17.379987271478747</v>
      </c>
      <c r="AR300" s="200">
        <f t="shared" ref="AR300" si="4420">AR297*AR299</f>
        <v>15.913243798185947</v>
      </c>
      <c r="AS300" s="200">
        <f t="shared" ref="AS300" si="4421">AS297*AS299</f>
        <v>14.427094422463378</v>
      </c>
      <c r="AT300" s="200">
        <f t="shared" ref="AT300" si="4422">AT297*AT299</f>
        <v>12.921257958021656</v>
      </c>
      <c r="AU300" s="200">
        <f t="shared" ref="AU300" si="4423">AU297*AU299</f>
        <v>11.395449170854382</v>
      </c>
      <c r="AV300" s="200">
        <f t="shared" ref="AV300" si="4424">AV297*AV299</f>
        <v>9.8493787209442534</v>
      </c>
      <c r="AW300" s="200">
        <f t="shared" ref="AW300" si="4425">AW297*AW299</f>
        <v>8.2827531031296378</v>
      </c>
      <c r="AX300" s="200">
        <f t="shared" ref="AX300" si="4426">AX297*AX299</f>
        <v>6.6952745871195898</v>
      </c>
      <c r="AY300" s="200">
        <f t="shared" ref="AY300" si="4427">AY297*AY299</f>
        <v>5.0866411566449887</v>
      </c>
      <c r="AZ300" s="200">
        <f t="shared" ref="AZ300" si="4428">AZ297*AZ299</f>
        <v>3.4565464477333876</v>
      </c>
      <c r="BA300" s="200">
        <f t="shared" ref="BA300" si="4429">BA297*BA299</f>
        <v>1.8046796860949414</v>
      </c>
      <c r="BB300" s="200">
        <f t="shared" ref="BB300" si="4430">BB297*BB299</f>
        <v>0.13072562360661852</v>
      </c>
      <c r="BC300" s="200">
        <f t="shared" ref="BC300" si="4431">BC297*BC299</f>
        <v>0</v>
      </c>
      <c r="BD300" s="200">
        <f t="shared" ref="BD300" si="4432">BD297*BD299</f>
        <v>0</v>
      </c>
      <c r="BE300" s="200">
        <f t="shared" ref="BE300" si="4433">BE297*BE299</f>
        <v>0</v>
      </c>
      <c r="BF300" s="200">
        <f t="shared" ref="BF300" si="4434">BF297*BF299</f>
        <v>0</v>
      </c>
      <c r="BG300" s="200">
        <f t="shared" ref="BG300" si="4435">BG297*BG299</f>
        <v>0</v>
      </c>
      <c r="BH300" s="200">
        <f t="shared" ref="BH300" si="4436">BH297*BH299</f>
        <v>0</v>
      </c>
      <c r="BI300" s="200">
        <f t="shared" ref="BI300" si="4437">BI297*BI299</f>
        <v>0</v>
      </c>
      <c r="BJ300" s="200">
        <f t="shared" ref="BJ300" si="4438">BJ297*BJ299</f>
        <v>0</v>
      </c>
      <c r="BK300" s="200">
        <f t="shared" ref="BK300" si="4439">BK297*BK299</f>
        <v>0</v>
      </c>
    </row>
    <row r="301" spans="1:63" ht="7.8" x14ac:dyDescent="0.15">
      <c r="A301" s="206" t="s">
        <v>97</v>
      </c>
      <c r="B301" s="192"/>
      <c r="C301" s="192"/>
      <c r="D301" s="192"/>
      <c r="E301" s="192"/>
      <c r="F301" s="192"/>
      <c r="G301" s="192"/>
      <c r="H301" s="192"/>
      <c r="I301" s="192"/>
      <c r="J301" s="192"/>
      <c r="K301" s="192"/>
      <c r="L301" s="192"/>
      <c r="M301" s="192"/>
      <c r="N301" s="192"/>
      <c r="O301" s="192"/>
      <c r="P301" s="192"/>
      <c r="Q301" s="192"/>
      <c r="R301" s="192"/>
      <c r="S301" s="192"/>
      <c r="T301" s="192"/>
      <c r="U301" s="192"/>
      <c r="V301" s="192"/>
      <c r="W301" s="192"/>
      <c r="X301" s="192"/>
      <c r="Y301" s="192"/>
      <c r="Z301" s="192"/>
      <c r="AA301" s="192"/>
      <c r="AB301" s="192"/>
      <c r="AC301" s="192"/>
      <c r="AD301" s="192"/>
      <c r="AE301" s="192"/>
      <c r="AF301" s="192"/>
      <c r="AG301" s="192"/>
      <c r="AH301" s="192"/>
      <c r="AI301" s="192"/>
      <c r="AJ301" s="223">
        <f>AJ298*AJ299</f>
        <v>141.90629621901985</v>
      </c>
      <c r="AK301" s="200">
        <f>AK298*AK299</f>
        <v>143.94992426744403</v>
      </c>
      <c r="AL301" s="200">
        <f t="shared" ref="AL301:BK301" si="4440">AL298*AL299</f>
        <v>146.02298311430059</v>
      </c>
      <c r="AM301" s="200">
        <f t="shared" si="4440"/>
        <v>148.1258965998754</v>
      </c>
      <c r="AN301" s="200">
        <f t="shared" si="4440"/>
        <v>90.155456800970612</v>
      </c>
      <c r="AO301" s="200">
        <f t="shared" si="4440"/>
        <v>91.453808073225588</v>
      </c>
      <c r="AP301" s="200">
        <f t="shared" si="4440"/>
        <v>92.770857226740119</v>
      </c>
      <c r="AQ301" s="200">
        <f t="shared" si="4440"/>
        <v>94.106873534376717</v>
      </c>
      <c r="AR301" s="200">
        <f t="shared" si="4440"/>
        <v>95.462130146863643</v>
      </c>
      <c r="AS301" s="200">
        <f t="shared" si="4440"/>
        <v>96.836904148641167</v>
      </c>
      <c r="AT301" s="200">
        <f t="shared" si="4440"/>
        <v>98.231476614511791</v>
      </c>
      <c r="AU301" s="200">
        <f t="shared" si="4440"/>
        <v>99.646132667106528</v>
      </c>
      <c r="AV301" s="200">
        <f t="shared" si="4440"/>
        <v>101.08116153517868</v>
      </c>
      <c r="AW301" s="200">
        <f t="shared" si="4440"/>
        <v>102.53685661273718</v>
      </c>
      <c r="AX301" s="200">
        <f t="shared" si="4440"/>
        <v>104.01351551903137</v>
      </c>
      <c r="AY301" s="200">
        <f t="shared" si="4440"/>
        <v>105.51144015939983</v>
      </c>
      <c r="AZ301" s="200">
        <f t="shared" si="4440"/>
        <v>107.03093678699538</v>
      </c>
      <c r="BA301" s="200">
        <f t="shared" si="4440"/>
        <v>108.57231606539911</v>
      </c>
      <c r="BB301" s="200">
        <f t="shared" si="4440"/>
        <v>110.13589313213593</v>
      </c>
      <c r="BC301" s="200">
        <f t="shared" si="4440"/>
        <v>0</v>
      </c>
      <c r="BD301" s="200">
        <f t="shared" si="4440"/>
        <v>0</v>
      </c>
      <c r="BE301" s="200">
        <f t="shared" si="4440"/>
        <v>0</v>
      </c>
      <c r="BF301" s="200">
        <f t="shared" si="4440"/>
        <v>0</v>
      </c>
      <c r="BG301" s="200">
        <f t="shared" si="4440"/>
        <v>0</v>
      </c>
      <c r="BH301" s="200">
        <f t="shared" si="4440"/>
        <v>0</v>
      </c>
      <c r="BI301" s="200">
        <f t="shared" si="4440"/>
        <v>0</v>
      </c>
      <c r="BJ301" s="200">
        <f t="shared" si="4440"/>
        <v>0</v>
      </c>
      <c r="BK301" s="200">
        <f t="shared" si="4440"/>
        <v>0</v>
      </c>
    </row>
    <row r="302" spans="1:63" ht="7.8" x14ac:dyDescent="0.15">
      <c r="A302" s="208" t="s">
        <v>203</v>
      </c>
      <c r="B302" s="192"/>
      <c r="C302" s="192"/>
      <c r="D302" s="192"/>
      <c r="E302" s="192"/>
      <c r="F302" s="192"/>
      <c r="G302" s="192"/>
      <c r="H302" s="192"/>
      <c r="I302" s="192"/>
      <c r="J302" s="192"/>
      <c r="K302" s="192"/>
      <c r="L302" s="192"/>
      <c r="M302" s="192"/>
      <c r="N302" s="192"/>
      <c r="O302" s="192"/>
      <c r="P302" s="192"/>
      <c r="Q302" s="192"/>
      <c r="R302" s="192"/>
      <c r="S302" s="192"/>
      <c r="T302" s="192"/>
      <c r="U302" s="192"/>
      <c r="V302" s="192"/>
      <c r="W302" s="192"/>
      <c r="X302" s="192"/>
      <c r="Y302" s="192"/>
      <c r="Z302" s="192"/>
      <c r="AA302" s="192"/>
      <c r="AB302" s="192"/>
      <c r="AC302" s="192"/>
      <c r="AD302" s="192"/>
      <c r="AE302" s="192"/>
      <c r="AF302" s="192"/>
      <c r="AG302" s="192"/>
      <c r="AH302" s="192"/>
      <c r="AI302" s="192"/>
      <c r="AJ302" s="224">
        <f>IF(AJ294-101&lt;&gt;LoanSaleHeld,0,SUM($D301:AJ301)*LoanSalePercent)</f>
        <v>0</v>
      </c>
      <c r="AK302" s="225">
        <f>IF(AK294-101&lt;&gt;LoanSaleHeld,0,SUM($D301:AK301)*LoanSalePercent)</f>
        <v>0</v>
      </c>
      <c r="AL302" s="225">
        <f>IF(AL294-101&lt;&gt;LoanSaleHeld,0,SUM($D301:AL301)*LoanSalePercent)</f>
        <v>0</v>
      </c>
      <c r="AM302" s="225">
        <f>IF(AM294-101&lt;&gt;LoanSaleHeld,0,SUM($D301:AM301)*LoanSalePercent)</f>
        <v>232.00204008025594</v>
      </c>
      <c r="AN302" s="225">
        <f>IF(AN294-101&lt;&gt;LoanSaleHeld,0,SUM($D301:AN301)*LoanSalePercent)</f>
        <v>0</v>
      </c>
      <c r="AO302" s="225">
        <f>IF(AO294-101&lt;&gt;LoanSaleHeld,0,SUM($D301:AO301)*LoanSalePercent)</f>
        <v>0</v>
      </c>
      <c r="AP302" s="225">
        <f>IF(AP294-101&lt;&gt;LoanSaleHeld,0,SUM($D301:AP301)*LoanSalePercent)</f>
        <v>0</v>
      </c>
      <c r="AQ302" s="225">
        <f>IF(AQ294-101&lt;&gt;LoanSaleHeld,0,SUM($D301:AQ301)*LoanSalePercent)</f>
        <v>0</v>
      </c>
      <c r="AR302" s="225">
        <f>IF(AR294-101&lt;&gt;LoanSaleHeld,0,SUM($D301:AR301)*LoanSalePercent)</f>
        <v>0</v>
      </c>
      <c r="AS302" s="225">
        <f>IF(AS294-101&lt;&gt;LoanSaleHeld,0,SUM($D301:AS301)*LoanSalePercent)</f>
        <v>0</v>
      </c>
      <c r="AT302" s="225">
        <f>IF(AT294-101&lt;&gt;LoanSaleHeld,0,SUM($D301:AT301)*LoanSalePercent)</f>
        <v>0</v>
      </c>
      <c r="AU302" s="225">
        <f>IF(AU294-101&lt;&gt;LoanSaleHeld,0,SUM($D301:AU301)*LoanSalePercent)</f>
        <v>0</v>
      </c>
      <c r="AV302" s="225">
        <f>IF(AV294-101&lt;&gt;LoanSaleHeld,0,SUM($D301:AV301)*LoanSalePercent)</f>
        <v>0</v>
      </c>
      <c r="AW302" s="225">
        <f>IF(AW294-101&lt;&gt;LoanSaleHeld,0,SUM($D301:AW301)*LoanSalePercent)</f>
        <v>0</v>
      </c>
      <c r="AX302" s="225">
        <f>IF(AX294-101&lt;&gt;LoanSaleHeld,0,SUM($D301:AX301)*LoanSalePercent)</f>
        <v>0</v>
      </c>
      <c r="AY302" s="225">
        <f>IF(AY294-101&lt;&gt;LoanSaleHeld,0,SUM($D301:AY301)*LoanSalePercent)</f>
        <v>0</v>
      </c>
      <c r="AZ302" s="225">
        <f>IF(AZ294-101&lt;&gt;LoanSaleHeld,0,SUM($D301:AZ301)*LoanSalePercent)</f>
        <v>0</v>
      </c>
      <c r="BA302" s="225">
        <f>IF(BA294-101&lt;&gt;LoanSaleHeld,0,SUM($D301:BA301)*LoanSalePercent)</f>
        <v>0</v>
      </c>
      <c r="BB302" s="225">
        <f>IF(BB294-101&lt;&gt;LoanSaleHeld,0,SUM($D301:BB301)*LoanSalePercent)</f>
        <v>0</v>
      </c>
      <c r="BC302" s="225">
        <f>IF(BC294-101&lt;&gt;LoanSaleHeld,0,SUM($D301:BC301)*LoanSalePercent)</f>
        <v>0</v>
      </c>
      <c r="BD302" s="225">
        <f>IF(BD294-101&lt;&gt;LoanSaleHeld,0,SUM($D301:BD301)*LoanSalePercent)</f>
        <v>0</v>
      </c>
      <c r="BE302" s="225">
        <f>IF(BE294-101&lt;&gt;LoanSaleHeld,0,SUM($D301:BE301)*LoanSalePercent)</f>
        <v>0</v>
      </c>
      <c r="BF302" s="225">
        <f>IF(BF294-101&lt;&gt;LoanSaleHeld,0,SUM($D301:BF301)*LoanSalePercent)</f>
        <v>0</v>
      </c>
      <c r="BG302" s="225">
        <f>IF(BG294-101&lt;&gt;LoanSaleHeld,0,SUM($D301:BG301)*LoanSalePercent)</f>
        <v>0</v>
      </c>
      <c r="BH302" s="225">
        <f>IF(BH294-101&lt;&gt;LoanSaleHeld,0,SUM($D301:BH301)*LoanSalePercent)</f>
        <v>0</v>
      </c>
      <c r="BI302" s="225">
        <f>IF(BI294-101&lt;&gt;LoanSaleHeld,0,SUM($D301:BI301)*LoanSalePercent)</f>
        <v>0</v>
      </c>
      <c r="BJ302" s="225">
        <f>IF(BJ294-101&lt;&gt;LoanSaleHeld,0,SUM($D301:BJ301)*LoanSalePercent)</f>
        <v>0</v>
      </c>
      <c r="BK302" s="225">
        <f>IF(BK294-101&lt;&gt;LoanSaleHeld,0,SUM($D301:BK301)*LoanSalePercent)</f>
        <v>0</v>
      </c>
    </row>
    <row r="303" spans="1:63" ht="7.8" x14ac:dyDescent="0.15">
      <c r="A303" s="204">
        <f t="shared" ref="A303" si="4441">A294+1</f>
        <v>34</v>
      </c>
      <c r="B303" s="192"/>
      <c r="C303" s="192"/>
      <c r="D303" s="192"/>
      <c r="E303" s="192"/>
      <c r="F303" s="192"/>
      <c r="G303" s="192"/>
      <c r="H303" s="192"/>
      <c r="I303" s="192"/>
      <c r="J303" s="192"/>
      <c r="K303" s="192"/>
      <c r="L303" s="192"/>
      <c r="M303" s="192"/>
      <c r="N303" s="192"/>
      <c r="O303" s="192"/>
      <c r="P303" s="192"/>
      <c r="Q303" s="192"/>
      <c r="R303" s="192"/>
      <c r="S303" s="192"/>
      <c r="T303" s="192"/>
      <c r="U303" s="192"/>
      <c r="V303" s="192"/>
      <c r="W303" s="192"/>
      <c r="X303" s="192"/>
      <c r="Y303" s="192"/>
      <c r="Z303" s="192"/>
      <c r="AA303" s="192"/>
      <c r="AB303" s="192"/>
      <c r="AC303" s="192"/>
      <c r="AD303" s="192"/>
      <c r="AE303" s="192"/>
      <c r="AF303" s="192"/>
      <c r="AG303" s="192"/>
      <c r="AH303" s="192"/>
      <c r="AI303" s="192"/>
      <c r="AJ303" s="192"/>
      <c r="AK303" s="195">
        <v>101</v>
      </c>
      <c r="AL303" s="196">
        <f t="shared" ref="AL303" si="4442">IF(AL304=0,0,AK303+1)</f>
        <v>102</v>
      </c>
      <c r="AM303" s="196">
        <f t="shared" ref="AM303" si="4443">IF(AM304=0,0,AL303+1)</f>
        <v>103</v>
      </c>
      <c r="AN303" s="196">
        <f t="shared" ref="AN303" si="4444">IF(AN304=0,0,AM303+1)</f>
        <v>104</v>
      </c>
      <c r="AO303" s="196">
        <f t="shared" ref="AO303" si="4445">IF(AO304=0,0,AN303+1)</f>
        <v>105</v>
      </c>
      <c r="AP303" s="196">
        <f t="shared" ref="AP303" si="4446">IF(AP304=0,0,AO303+1)</f>
        <v>106</v>
      </c>
      <c r="AQ303" s="196">
        <f t="shared" ref="AQ303" si="4447">IF(AQ304=0,0,AP303+1)</f>
        <v>107</v>
      </c>
      <c r="AR303" s="196">
        <f t="shared" ref="AR303" si="4448">IF(AR304=0,0,AQ303+1)</f>
        <v>108</v>
      </c>
      <c r="AS303" s="196">
        <f t="shared" ref="AS303" si="4449">IF(AS304=0,0,AR303+1)</f>
        <v>109</v>
      </c>
      <c r="AT303" s="196">
        <f t="shared" ref="AT303" si="4450">IF(AT304=0,0,AS303+1)</f>
        <v>110</v>
      </c>
      <c r="AU303" s="196">
        <f t="shared" ref="AU303" si="4451">IF(AU304=0,0,AT303+1)</f>
        <v>111</v>
      </c>
      <c r="AV303" s="196">
        <f t="shared" ref="AV303" si="4452">IF(AV304=0,0,AU303+1)</f>
        <v>112</v>
      </c>
      <c r="AW303" s="196">
        <f t="shared" ref="AW303" si="4453">IF(AW304=0,0,AV303+1)</f>
        <v>113</v>
      </c>
      <c r="AX303" s="196">
        <f t="shared" ref="AX303" si="4454">IF(AX304=0,0,AW303+1)</f>
        <v>114</v>
      </c>
      <c r="AY303" s="196">
        <f t="shared" ref="AY303" si="4455">IF(AY304=0,0,AX303+1)</f>
        <v>115</v>
      </c>
      <c r="AZ303" s="196">
        <f t="shared" ref="AZ303" si="4456">IF(AZ304=0,0,AY303+1)</f>
        <v>116</v>
      </c>
      <c r="BA303" s="196">
        <f t="shared" ref="BA303" si="4457">IF(BA304=0,0,AZ303+1)</f>
        <v>117</v>
      </c>
      <c r="BB303" s="196">
        <f t="shared" ref="BB303" si="4458">IF(BB304=0,0,BA303+1)</f>
        <v>118</v>
      </c>
      <c r="BC303" s="196">
        <f t="shared" ref="BC303" si="4459">IF(BC304=0,0,BB303+1)</f>
        <v>119</v>
      </c>
      <c r="BD303" s="196">
        <f t="shared" ref="BD303" si="4460">IF(BD304=0,0,BC303+1)</f>
        <v>0</v>
      </c>
      <c r="BE303" s="196">
        <f t="shared" ref="BE303" si="4461">IF(BE304=0,0,BD303+1)</f>
        <v>0</v>
      </c>
      <c r="BF303" s="196">
        <f t="shared" ref="BF303" si="4462">IF(BF304=0,0,BE303+1)</f>
        <v>0</v>
      </c>
      <c r="BG303" s="196">
        <f t="shared" ref="BG303" si="4463">IF(BG304=0,0,BF303+1)</f>
        <v>0</v>
      </c>
      <c r="BH303" s="196">
        <f t="shared" ref="BH303" si="4464">IF(BH304=0,0,BG303+1)</f>
        <v>0</v>
      </c>
      <c r="BI303" s="196">
        <f t="shared" ref="BI303" si="4465">IF(BI304=0,0,BH303+1)</f>
        <v>0</v>
      </c>
      <c r="BJ303" s="196">
        <f t="shared" ref="BJ303" si="4466">IF(BJ304=0,0,BI303+1)</f>
        <v>0</v>
      </c>
      <c r="BK303" s="196">
        <f t="shared" ref="BK303" si="4467">IF(BK304=0,0,BJ303+1)</f>
        <v>0</v>
      </c>
    </row>
    <row r="304" spans="1:63" ht="7.8" x14ac:dyDescent="0.15">
      <c r="A304" s="216" t="s">
        <v>178</v>
      </c>
      <c r="B304" s="192"/>
      <c r="C304" s="192"/>
      <c r="D304" s="192"/>
      <c r="E304" s="192"/>
      <c r="F304" s="192"/>
      <c r="G304" s="192"/>
      <c r="H304" s="192"/>
      <c r="I304" s="192"/>
      <c r="J304" s="192"/>
      <c r="K304" s="192"/>
      <c r="L304" s="192"/>
      <c r="M304" s="192"/>
      <c r="N304" s="192"/>
      <c r="O304" s="192"/>
      <c r="P304" s="192"/>
      <c r="Q304" s="192"/>
      <c r="R304" s="192"/>
      <c r="S304" s="192"/>
      <c r="T304" s="192"/>
      <c r="U304" s="192"/>
      <c r="V304" s="192"/>
      <c r="W304" s="192"/>
      <c r="X304" s="192"/>
      <c r="Y304" s="192"/>
      <c r="Z304" s="192"/>
      <c r="AA304" s="192"/>
      <c r="AB304" s="192"/>
      <c r="AC304" s="192"/>
      <c r="AD304" s="192"/>
      <c r="AE304" s="192"/>
      <c r="AF304" s="192"/>
      <c r="AG304" s="192"/>
      <c r="AH304" s="192"/>
      <c r="AI304" s="192"/>
      <c r="AJ304" s="192"/>
      <c r="AK304" s="217">
        <f>LoanSize</f>
        <v>25</v>
      </c>
      <c r="AL304" s="215">
        <f>IF(AK304-AK307&lt;=0.1,0,AK304-AK307)</f>
        <v>23.79027212253634</v>
      </c>
      <c r="AM304" s="215">
        <f t="shared" ref="AM304:BK304" si="4468">IF(AL304-AL307&lt;=0.1,0,AL304-AL307)</f>
        <v>22.56189427362845</v>
      </c>
      <c r="AN304" s="215">
        <f t="shared" si="4468"/>
        <v>21.314578932883229</v>
      </c>
      <c r="AO304" s="215">
        <f t="shared" si="4468"/>
        <v>20.048034147301522</v>
      </c>
      <c r="AP304" s="215">
        <f t="shared" si="4468"/>
        <v>18.761963462942095</v>
      </c>
      <c r="AQ304" s="215">
        <f t="shared" si="4468"/>
        <v>17.456065855532128</v>
      </c>
      <c r="AR304" s="215">
        <f t="shared" si="4468"/>
        <v>16.130035660007923</v>
      </c>
      <c r="AS304" s="215">
        <f t="shared" si="4468"/>
        <v>14.783562498969387</v>
      </c>
      <c r="AT304" s="215">
        <f t="shared" si="4468"/>
        <v>13.416331210031506</v>
      </c>
      <c r="AU304" s="215">
        <f t="shared" si="4468"/>
        <v>12.028021772055833</v>
      </c>
      <c r="AV304" s="215">
        <f t="shared" si="4468"/>
        <v>10.618309230244702</v>
      </c>
      <c r="AW304" s="215">
        <f t="shared" si="4468"/>
        <v>9.1868636200806488</v>
      </c>
      <c r="AX304" s="215">
        <f t="shared" si="4468"/>
        <v>7.7333498900932334</v>
      </c>
      <c r="AY304" s="215">
        <f t="shared" si="4468"/>
        <v>6.2574278234351794</v>
      </c>
      <c r="AZ304" s="215">
        <f t="shared" si="4468"/>
        <v>4.7587519582494799</v>
      </c>
      <c r="BA304" s="215">
        <f t="shared" si="4468"/>
        <v>3.2369715068088345</v>
      </c>
      <c r="BB304" s="215">
        <f t="shared" si="4468"/>
        <v>1.6917302734084789</v>
      </c>
      <c r="BC304" s="215">
        <f t="shared" si="4468"/>
        <v>0.12266657099320111</v>
      </c>
      <c r="BD304" s="215">
        <f t="shared" si="4468"/>
        <v>0</v>
      </c>
      <c r="BE304" s="215">
        <f t="shared" si="4468"/>
        <v>0</v>
      </c>
      <c r="BF304" s="215">
        <f t="shared" si="4468"/>
        <v>0</v>
      </c>
      <c r="BG304" s="215">
        <f t="shared" si="4468"/>
        <v>0</v>
      </c>
      <c r="BH304" s="215">
        <f t="shared" si="4468"/>
        <v>0</v>
      </c>
      <c r="BI304" s="215">
        <f t="shared" si="4468"/>
        <v>0</v>
      </c>
      <c r="BJ304" s="215">
        <f t="shared" si="4468"/>
        <v>0</v>
      </c>
      <c r="BK304" s="215">
        <f t="shared" si="4468"/>
        <v>0</v>
      </c>
    </row>
    <row r="305" spans="1:63" ht="7.8" x14ac:dyDescent="0.15">
      <c r="A305" s="218" t="s">
        <v>179</v>
      </c>
      <c r="B305" s="192"/>
      <c r="C305" s="192"/>
      <c r="D305" s="192"/>
      <c r="E305" s="192"/>
      <c r="F305" s="192"/>
      <c r="G305" s="192"/>
      <c r="H305" s="192"/>
      <c r="I305" s="192"/>
      <c r="J305" s="192"/>
      <c r="K305" s="192"/>
      <c r="L305" s="192"/>
      <c r="M305" s="192"/>
      <c r="N305" s="192"/>
      <c r="O305" s="192"/>
      <c r="P305" s="192"/>
      <c r="Q305" s="192"/>
      <c r="R305" s="192"/>
      <c r="S305" s="192"/>
      <c r="T305" s="192"/>
      <c r="U305" s="192"/>
      <c r="V305" s="192"/>
      <c r="W305" s="192"/>
      <c r="X305" s="192"/>
      <c r="Y305" s="192"/>
      <c r="Z305" s="192"/>
      <c r="AA305" s="192"/>
      <c r="AB305" s="192"/>
      <c r="AC305" s="192"/>
      <c r="AD305" s="192"/>
      <c r="AE305" s="192"/>
      <c r="AF305" s="192"/>
      <c r="AG305" s="192"/>
      <c r="AH305" s="192"/>
      <c r="AI305" s="192"/>
      <c r="AJ305" s="192"/>
      <c r="AK305" s="219">
        <f>IF(AK304=0,0,PMT(INDEX(LoanCohortRate,1),LoanTerm, -LoanSize))</f>
        <v>1.5951445441303251</v>
      </c>
      <c r="AL305" s="222">
        <f t="shared" ref="AL305" si="4469">IF(AL304=0,0, AK305)</f>
        <v>1.5951445441303251</v>
      </c>
      <c r="AM305" s="222">
        <f t="shared" ref="AM305" si="4470">IF(AM304=0,0, AL305)</f>
        <v>1.5951445441303251</v>
      </c>
      <c r="AN305" s="222">
        <f t="shared" ref="AN305" si="4471">IF(AN304=0,0, AM305)</f>
        <v>1.5951445441303251</v>
      </c>
      <c r="AO305" s="222">
        <f t="shared" ref="AO305" si="4472">IF(AO304=0,0, AN305)</f>
        <v>1.5951445441303251</v>
      </c>
      <c r="AP305" s="222">
        <f t="shared" ref="AP305" si="4473">IF(AP304=0,0, AO305)</f>
        <v>1.5951445441303251</v>
      </c>
      <c r="AQ305" s="222">
        <f t="shared" ref="AQ305" si="4474">IF(AQ304=0,0, AP305)</f>
        <v>1.5951445441303251</v>
      </c>
      <c r="AR305" s="222">
        <f t="shared" ref="AR305" si="4475">IF(AR304=0,0, AQ305)</f>
        <v>1.5951445441303251</v>
      </c>
      <c r="AS305" s="222">
        <f t="shared" ref="AS305" si="4476">IF(AS304=0,0, AR305)</f>
        <v>1.5951445441303251</v>
      </c>
      <c r="AT305" s="222">
        <f t="shared" ref="AT305" si="4477">IF(AT304=0,0, AS305)</f>
        <v>1.5951445441303251</v>
      </c>
      <c r="AU305" s="222">
        <f t="shared" ref="AU305" si="4478">IF(AU304=0,0, AT305)</f>
        <v>1.5951445441303251</v>
      </c>
      <c r="AV305" s="222">
        <f t="shared" ref="AV305" si="4479">IF(AV304=0,0, AU305)</f>
        <v>1.5951445441303251</v>
      </c>
      <c r="AW305" s="222">
        <f t="shared" ref="AW305" si="4480">IF(AW304=0,0, AV305)</f>
        <v>1.5951445441303251</v>
      </c>
      <c r="AX305" s="222">
        <f t="shared" ref="AX305" si="4481">IF(AX304=0,0, AW305)</f>
        <v>1.5951445441303251</v>
      </c>
      <c r="AY305" s="222">
        <f t="shared" ref="AY305" si="4482">IF(AY304=0,0, AX305)</f>
        <v>1.5951445441303251</v>
      </c>
      <c r="AZ305" s="222">
        <f t="shared" ref="AZ305" si="4483">IF(AZ304=0,0, AY305)</f>
        <v>1.5951445441303251</v>
      </c>
      <c r="BA305" s="222">
        <f t="shared" ref="BA305" si="4484">IF(BA304=0,0, AZ305)</f>
        <v>1.5951445441303251</v>
      </c>
      <c r="BB305" s="222">
        <f t="shared" ref="BB305" si="4485">IF(BB304=0,0, BA305)</f>
        <v>1.5951445441303251</v>
      </c>
      <c r="BC305" s="222">
        <f t="shared" ref="BC305" si="4486">IF(BC304=0,0, BB305)</f>
        <v>1.5951445441303251</v>
      </c>
      <c r="BD305" s="222">
        <f t="shared" ref="BD305" si="4487">IF(BD304=0,0, BC305)</f>
        <v>0</v>
      </c>
      <c r="BE305" s="222">
        <f t="shared" ref="BE305" si="4488">IF(BE304=0,0, BD305)</f>
        <v>0</v>
      </c>
      <c r="BF305" s="222">
        <f t="shared" ref="BF305" si="4489">IF(BF304=0,0, BE305)</f>
        <v>0</v>
      </c>
      <c r="BG305" s="222">
        <f t="shared" ref="BG305" si="4490">IF(BG304=0,0, BF305)</f>
        <v>0</v>
      </c>
      <c r="BH305" s="222">
        <f t="shared" ref="BH305" si="4491">IF(BH304=0,0, BG305)</f>
        <v>0</v>
      </c>
      <c r="BI305" s="222">
        <f t="shared" ref="BI305" si="4492">IF(BI304=0,0, BH305)</f>
        <v>0</v>
      </c>
      <c r="BJ305" s="222">
        <f t="shared" ref="BJ305" si="4493">IF(BJ304=0,0, BI305)</f>
        <v>0</v>
      </c>
      <c r="BK305" s="222">
        <f t="shared" ref="BK305" si="4494">IF(BK304=0,0, BJ305)</f>
        <v>0</v>
      </c>
    </row>
    <row r="306" spans="1:63" ht="7.8" x14ac:dyDescent="0.15">
      <c r="A306" s="218" t="s">
        <v>180</v>
      </c>
      <c r="B306" s="192"/>
      <c r="C306" s="192"/>
      <c r="D306" s="192"/>
      <c r="E306" s="192"/>
      <c r="F306" s="192"/>
      <c r="G306" s="192"/>
      <c r="H306" s="192"/>
      <c r="I306" s="192"/>
      <c r="J306" s="192"/>
      <c r="K306" s="192"/>
      <c r="L306" s="192"/>
      <c r="M306" s="192"/>
      <c r="N306" s="192"/>
      <c r="O306" s="192"/>
      <c r="P306" s="192"/>
      <c r="Q306" s="192"/>
      <c r="R306" s="192"/>
      <c r="S306" s="192"/>
      <c r="T306" s="192"/>
      <c r="U306" s="192"/>
      <c r="V306" s="192"/>
      <c r="W306" s="192"/>
      <c r="X306" s="192"/>
      <c r="Y306" s="192"/>
      <c r="Z306" s="192"/>
      <c r="AA306" s="192"/>
      <c r="AB306" s="192"/>
      <c r="AC306" s="192"/>
      <c r="AD306" s="192"/>
      <c r="AE306" s="192"/>
      <c r="AF306" s="192"/>
      <c r="AG306" s="192"/>
      <c r="AH306" s="192"/>
      <c r="AI306" s="192"/>
      <c r="AJ306" s="192"/>
      <c r="AK306" s="220" cm="1">
        <f t="array" ref="AK306">AK304*INDEX(LoanCohortRate,$A303)</f>
        <v>0.38541666666666669</v>
      </c>
      <c r="AL306" s="221" cm="1">
        <f t="array" ref="AL306">AL304*INDEX(LoanCohortRate,$A303)</f>
        <v>0.36676669522243527</v>
      </c>
      <c r="AM306" s="221" cm="1">
        <f t="array" ref="AM306">AM304*INDEX(LoanCohortRate,$A303)</f>
        <v>0.34782920338510526</v>
      </c>
      <c r="AN306" s="221" cm="1">
        <f t="array" ref="AN306">AN304*INDEX(LoanCohortRate,$A303)</f>
        <v>0.32859975854861645</v>
      </c>
      <c r="AO306" s="221" cm="1">
        <f t="array" ref="AO306">AO304*INDEX(LoanCohortRate,$A303)</f>
        <v>0.30907385977089846</v>
      </c>
      <c r="AP306" s="221" cm="1">
        <f t="array" ref="AP306">AP304*INDEX(LoanCohortRate,$A303)</f>
        <v>0.28924693672035728</v>
      </c>
      <c r="AQ306" s="221" cm="1">
        <f t="array" ref="AQ306">AQ304*INDEX(LoanCohortRate,$A303)</f>
        <v>0.26911434860612032</v>
      </c>
      <c r="AR306" s="221" cm="1">
        <f t="array" ref="AR306">AR304*INDEX(LoanCohortRate,$A303)</f>
        <v>0.24867138309178882</v>
      </c>
      <c r="AS306" s="221" cm="1">
        <f t="array" ref="AS306">AS304*INDEX(LoanCohortRate,$A303)</f>
        <v>0.22791325519244471</v>
      </c>
      <c r="AT306" s="221" cm="1">
        <f t="array" ref="AT306">AT304*INDEX(LoanCohortRate,$A303)</f>
        <v>0.20683510615465239</v>
      </c>
      <c r="AU306" s="221" cm="1">
        <f t="array" ref="AU306">AU304*INDEX(LoanCohortRate,$A303)</f>
        <v>0.1854320023191941</v>
      </c>
      <c r="AV306" s="221" cm="1">
        <f t="array" ref="AV306">AV304*INDEX(LoanCohortRate,$A303)</f>
        <v>0.1636989339662725</v>
      </c>
      <c r="AW306" s="221" cm="1">
        <f t="array" ref="AW306">AW304*INDEX(LoanCohortRate,$A303)</f>
        <v>0.14163081414291001</v>
      </c>
      <c r="AX306" s="221" cm="1">
        <f t="array" ref="AX306">AX304*INDEX(LoanCohortRate,$A303)</f>
        <v>0.11922247747227069</v>
      </c>
      <c r="AY306" s="221" cm="1">
        <f t="array" ref="AY306">AY304*INDEX(LoanCohortRate,$A303)</f>
        <v>9.6468678944625685E-2</v>
      </c>
      <c r="AZ306" s="221" cm="1">
        <f t="array" ref="AZ306">AZ304*INDEX(LoanCohortRate,$A303)</f>
        <v>7.3364092689679486E-2</v>
      </c>
      <c r="BA306" s="221" cm="1">
        <f t="array" ref="BA306">BA304*INDEX(LoanCohortRate,$A303)</f>
        <v>4.9903310729969536E-2</v>
      </c>
      <c r="BB306" s="221" cm="1">
        <f t="array" ref="BB306">BB304*INDEX(LoanCohortRate,$A303)</f>
        <v>2.6080841715047383E-2</v>
      </c>
      <c r="BC306" s="221" cm="1">
        <f t="array" ref="BC306">BC304*INDEX(LoanCohortRate,$A303)</f>
        <v>1.8911096361451838E-3</v>
      </c>
      <c r="BD306" s="221" cm="1">
        <f t="array" ref="BD306">BD304*INDEX(LoanCohortRate,$A303)</f>
        <v>0</v>
      </c>
      <c r="BE306" s="221" cm="1">
        <f t="array" ref="BE306">BE304*INDEX(LoanCohortRate,$A303)</f>
        <v>0</v>
      </c>
      <c r="BF306" s="221" cm="1">
        <f t="array" ref="BF306">BF304*INDEX(LoanCohortRate,$A303)</f>
        <v>0</v>
      </c>
      <c r="BG306" s="221" cm="1">
        <f t="array" ref="BG306">BG304*INDEX(LoanCohortRate,$A303)</f>
        <v>0</v>
      </c>
      <c r="BH306" s="221" cm="1">
        <f t="array" ref="BH306">BH304*INDEX(LoanCohortRate,$A303)</f>
        <v>0</v>
      </c>
      <c r="BI306" s="221" cm="1">
        <f t="array" ref="BI306">BI304*INDEX(LoanCohortRate,$A303)</f>
        <v>0</v>
      </c>
      <c r="BJ306" s="221" cm="1">
        <f t="array" ref="BJ306">BJ304*INDEX(LoanCohortRate,$A303)</f>
        <v>0</v>
      </c>
      <c r="BK306" s="221" cm="1">
        <f t="array" ref="BK306">BK304*INDEX(LoanCohortRate,$A303)</f>
        <v>0</v>
      </c>
    </row>
    <row r="307" spans="1:63" ht="7.8" x14ac:dyDescent="0.15">
      <c r="A307" s="218" t="s">
        <v>177</v>
      </c>
      <c r="B307" s="192"/>
      <c r="C307" s="192"/>
      <c r="D307" s="192"/>
      <c r="E307" s="192"/>
      <c r="F307" s="192"/>
      <c r="G307" s="192"/>
      <c r="H307" s="192"/>
      <c r="I307" s="192"/>
      <c r="J307" s="192"/>
      <c r="K307" s="192"/>
      <c r="L307" s="192"/>
      <c r="M307" s="192"/>
      <c r="N307" s="192"/>
      <c r="O307" s="192"/>
      <c r="P307" s="192"/>
      <c r="Q307" s="192"/>
      <c r="R307" s="192"/>
      <c r="S307" s="192"/>
      <c r="T307" s="192"/>
      <c r="U307" s="192"/>
      <c r="V307" s="192"/>
      <c r="W307" s="192"/>
      <c r="X307" s="192"/>
      <c r="Y307" s="192"/>
      <c r="Z307" s="192"/>
      <c r="AA307" s="192"/>
      <c r="AB307" s="192"/>
      <c r="AC307" s="192"/>
      <c r="AD307" s="192"/>
      <c r="AE307" s="192"/>
      <c r="AF307" s="192"/>
      <c r="AG307" s="192"/>
      <c r="AH307" s="192"/>
      <c r="AI307" s="192"/>
      <c r="AJ307" s="192"/>
      <c r="AK307" s="219">
        <f>AK305-AK306</f>
        <v>1.2097278774636584</v>
      </c>
      <c r="AL307" s="222">
        <f t="shared" ref="AL307:BK307" si="4495">AL305-AL306</f>
        <v>1.2283778489078898</v>
      </c>
      <c r="AM307" s="222">
        <f t="shared" si="4495"/>
        <v>1.24731534074522</v>
      </c>
      <c r="AN307" s="222">
        <f t="shared" si="4495"/>
        <v>1.2665447855817087</v>
      </c>
      <c r="AO307" s="222">
        <f t="shared" si="4495"/>
        <v>1.2860706843594267</v>
      </c>
      <c r="AP307" s="222">
        <f t="shared" si="4495"/>
        <v>1.305897607409968</v>
      </c>
      <c r="AQ307" s="222">
        <f t="shared" si="4495"/>
        <v>1.3260301955242049</v>
      </c>
      <c r="AR307" s="222">
        <f t="shared" si="4495"/>
        <v>1.3464731610385363</v>
      </c>
      <c r="AS307" s="222">
        <f t="shared" si="4495"/>
        <v>1.3672312889378804</v>
      </c>
      <c r="AT307" s="222">
        <f t="shared" si="4495"/>
        <v>1.3883094379756726</v>
      </c>
      <c r="AU307" s="222">
        <f t="shared" si="4495"/>
        <v>1.4097125418111309</v>
      </c>
      <c r="AV307" s="222">
        <f t="shared" si="4495"/>
        <v>1.4314456101640527</v>
      </c>
      <c r="AW307" s="222">
        <f t="shared" si="4495"/>
        <v>1.453513729987415</v>
      </c>
      <c r="AX307" s="222">
        <f t="shared" si="4495"/>
        <v>1.4759220666580544</v>
      </c>
      <c r="AY307" s="222">
        <f t="shared" si="4495"/>
        <v>1.4986758651856995</v>
      </c>
      <c r="AZ307" s="222">
        <f t="shared" si="4495"/>
        <v>1.5217804514406457</v>
      </c>
      <c r="BA307" s="222">
        <f t="shared" si="4495"/>
        <v>1.5452412334003556</v>
      </c>
      <c r="BB307" s="222">
        <f t="shared" si="4495"/>
        <v>1.5690637024152778</v>
      </c>
      <c r="BC307" s="222">
        <f t="shared" si="4495"/>
        <v>1.59325343449418</v>
      </c>
      <c r="BD307" s="222">
        <f t="shared" si="4495"/>
        <v>0</v>
      </c>
      <c r="BE307" s="222">
        <f t="shared" si="4495"/>
        <v>0</v>
      </c>
      <c r="BF307" s="222">
        <f t="shared" si="4495"/>
        <v>0</v>
      </c>
      <c r="BG307" s="222">
        <f t="shared" si="4495"/>
        <v>0</v>
      </c>
      <c r="BH307" s="222">
        <f t="shared" si="4495"/>
        <v>0</v>
      </c>
      <c r="BI307" s="222">
        <f t="shared" si="4495"/>
        <v>0</v>
      </c>
      <c r="BJ307" s="222">
        <f t="shared" si="4495"/>
        <v>0</v>
      </c>
      <c r="BK307" s="222">
        <f t="shared" si="4495"/>
        <v>0</v>
      </c>
    </row>
    <row r="308" spans="1:63" ht="7.8" x14ac:dyDescent="0.15">
      <c r="A308" s="205" t="s">
        <v>7</v>
      </c>
      <c r="B308" s="192"/>
      <c r="C308" s="192"/>
      <c r="D308" s="192"/>
      <c r="E308" s="192"/>
      <c r="F308" s="192"/>
      <c r="G308" s="192"/>
      <c r="H308" s="192"/>
      <c r="I308" s="192"/>
      <c r="J308" s="192"/>
      <c r="K308" s="192"/>
      <c r="L308" s="192"/>
      <c r="M308" s="192"/>
      <c r="N308" s="192"/>
      <c r="O308" s="192"/>
      <c r="P308" s="192"/>
      <c r="Q308" s="192"/>
      <c r="R308" s="192"/>
      <c r="S308" s="192"/>
      <c r="T308" s="192"/>
      <c r="U308" s="192"/>
      <c r="V308" s="192"/>
      <c r="W308" s="192"/>
      <c r="X308" s="192"/>
      <c r="Y308" s="192"/>
      <c r="Z308" s="192"/>
      <c r="AA308" s="192"/>
      <c r="AB308" s="192"/>
      <c r="AC308" s="192"/>
      <c r="AD308" s="192"/>
      <c r="AE308" s="192"/>
      <c r="AF308" s="192"/>
      <c r="AG308" s="192"/>
      <c r="AH308" s="192"/>
      <c r="AI308" s="192"/>
      <c r="AJ308" s="192"/>
      <c r="AK308" s="214" cm="1">
        <f t="array" ref="AK308">INDEX(LoanOriginations,$A303)</f>
        <v>117.89083343199991</v>
      </c>
      <c r="AL308" s="199">
        <f t="shared" ref="AL308:BK308" si="4496">AK308*(1-MitigateDelinquency*MitigateChargeoff)  *  IF(AL303=0,0,IF(AL303-102=LoanSaleHeld,0.6,1))</f>
        <v>117.77294259856791</v>
      </c>
      <c r="AM308" s="199">
        <f t="shared" si="4496"/>
        <v>117.65516965596935</v>
      </c>
      <c r="AN308" s="199">
        <f t="shared" si="4496"/>
        <v>117.53751448631337</v>
      </c>
      <c r="AO308" s="199">
        <f t="shared" si="4496"/>
        <v>70.451986183096224</v>
      </c>
      <c r="AP308" s="199">
        <f t="shared" si="4496"/>
        <v>70.381534196913123</v>
      </c>
      <c r="AQ308" s="199">
        <f t="shared" si="4496"/>
        <v>70.311152662716211</v>
      </c>
      <c r="AR308" s="199">
        <f t="shared" si="4496"/>
        <v>70.2408415100535</v>
      </c>
      <c r="AS308" s="199">
        <f t="shared" si="4496"/>
        <v>70.170600668543443</v>
      </c>
      <c r="AT308" s="199">
        <f t="shared" si="4496"/>
        <v>70.100430067874896</v>
      </c>
      <c r="AU308" s="199">
        <f t="shared" si="4496"/>
        <v>70.030329637807014</v>
      </c>
      <c r="AV308" s="199">
        <f t="shared" si="4496"/>
        <v>69.960299308169212</v>
      </c>
      <c r="AW308" s="199">
        <f t="shared" si="4496"/>
        <v>69.890339008861048</v>
      </c>
      <c r="AX308" s="199">
        <f t="shared" si="4496"/>
        <v>69.820448669852183</v>
      </c>
      <c r="AY308" s="199">
        <f t="shared" si="4496"/>
        <v>69.750628221182325</v>
      </c>
      <c r="AZ308" s="199">
        <f t="shared" si="4496"/>
        <v>69.680877592961139</v>
      </c>
      <c r="BA308" s="199">
        <f t="shared" si="4496"/>
        <v>69.61119671536818</v>
      </c>
      <c r="BB308" s="199">
        <f t="shared" si="4496"/>
        <v>69.541585518652809</v>
      </c>
      <c r="BC308" s="199">
        <f t="shared" si="4496"/>
        <v>69.472043933134159</v>
      </c>
      <c r="BD308" s="199">
        <f t="shared" si="4496"/>
        <v>0</v>
      </c>
      <c r="BE308" s="199">
        <f t="shared" si="4496"/>
        <v>0</v>
      </c>
      <c r="BF308" s="199">
        <f t="shared" si="4496"/>
        <v>0</v>
      </c>
      <c r="BG308" s="199">
        <f t="shared" si="4496"/>
        <v>0</v>
      </c>
      <c r="BH308" s="199">
        <f t="shared" si="4496"/>
        <v>0</v>
      </c>
      <c r="BI308" s="199">
        <f t="shared" si="4496"/>
        <v>0</v>
      </c>
      <c r="BJ308" s="199">
        <f t="shared" si="4496"/>
        <v>0</v>
      </c>
      <c r="BK308" s="199">
        <f t="shared" si="4496"/>
        <v>0</v>
      </c>
    </row>
    <row r="309" spans="1:63" ht="7.8" x14ac:dyDescent="0.15">
      <c r="A309" s="207" t="s">
        <v>96</v>
      </c>
      <c r="B309" s="192"/>
      <c r="C309" s="192"/>
      <c r="D309" s="192"/>
      <c r="E309" s="192"/>
      <c r="F309" s="192"/>
      <c r="G309" s="192"/>
      <c r="H309" s="192"/>
      <c r="I309" s="192"/>
      <c r="J309" s="192"/>
      <c r="K309" s="192"/>
      <c r="L309" s="192"/>
      <c r="M309" s="192"/>
      <c r="N309" s="192"/>
      <c r="O309" s="192"/>
      <c r="P309" s="192"/>
      <c r="Q309" s="192"/>
      <c r="R309" s="192"/>
      <c r="S309" s="192"/>
      <c r="T309" s="192"/>
      <c r="U309" s="192"/>
      <c r="V309" s="192"/>
      <c r="W309" s="192"/>
      <c r="X309" s="192"/>
      <c r="Y309" s="192"/>
      <c r="Z309" s="192"/>
      <c r="AA309" s="192"/>
      <c r="AB309" s="192"/>
      <c r="AC309" s="192"/>
      <c r="AD309" s="192"/>
      <c r="AE309" s="192"/>
      <c r="AF309" s="192"/>
      <c r="AG309" s="192"/>
      <c r="AH309" s="192"/>
      <c r="AI309" s="192"/>
      <c r="AJ309" s="192"/>
      <c r="AK309" s="223">
        <f>AK306*AK308</f>
        <v>45.437092051916636</v>
      </c>
      <c r="AL309" s="200">
        <f t="shared" ref="AL309" si="4497">AL306*AL308</f>
        <v>43.19519294349832</v>
      </c>
      <c r="AM309" s="200">
        <f t="shared" ref="AM309" si="4498">AM306*AM308</f>
        <v>40.923903935575225</v>
      </c>
      <c r="AN309" s="200">
        <f t="shared" ref="AN309" si="4499">AN306*AN308</f>
        <v>38.622798880607078</v>
      </c>
      <c r="AO309" s="200">
        <f t="shared" ref="AO309" si="4500">AO306*AO308</f>
        <v>21.774867298135558</v>
      </c>
      <c r="AP309" s="200">
        <f t="shared" ref="AP309" si="4501">AP306*AP308</f>
        <v>20.357643168136192</v>
      </c>
      <c r="AQ309" s="200">
        <f t="shared" ref="AQ309" si="4502">AQ306*AQ308</f>
        <v>18.921740048572357</v>
      </c>
      <c r="AR309" s="200">
        <f t="shared" ref="AR309" si="4503">AR306*AR308</f>
        <v>17.466887207836137</v>
      </c>
      <c r="AS309" s="200">
        <f t="shared" ref="AS309" si="4504">AS306*AS308</f>
        <v>15.992810017176874</v>
      </c>
      <c r="AT309" s="200">
        <f t="shared" ref="AT309" si="4505">AT306*AT308</f>
        <v>14.499229894575691</v>
      </c>
      <c r="AU309" s="200">
        <f t="shared" ref="AU309" si="4506">AU306*AU308</f>
        <v>12.985864247811758</v>
      </c>
      <c r="AV309" s="200">
        <f t="shared" ref="AV309" si="4507">AV306*AV308</f>
        <v>11.452426416708651</v>
      </c>
      <c r="AW309" s="200">
        <f t="shared" ref="AW309" si="4508">AW306*AW308</f>
        <v>9.8986256145489726</v>
      </c>
      <c r="AX309" s="200">
        <f t="shared" ref="AX309" si="4509">AX306*AX308</f>
        <v>8.3241668686452837</v>
      </c>
      <c r="AY309" s="200">
        <f t="shared" ref="AY309" si="4510">AY306*AY308</f>
        <v>6.7287509600551854</v>
      </c>
      <c r="AZ309" s="200">
        <f t="shared" ref="AZ309" si="4511">AZ306*AZ308</f>
        <v>5.1120743624282117</v>
      </c>
      <c r="BA309" s="200">
        <f t="shared" ref="BA309" si="4512">BA306*BA308</f>
        <v>3.4738291799720531</v>
      </c>
      <c r="BB309" s="200">
        <f t="shared" ref="BB309" si="4513">BB306*BB308</f>
        <v>1.8137030845254152</v>
      </c>
      <c r="BC309" s="200">
        <f t="shared" ref="BC309" si="4514">BC306*BC308</f>
        <v>0.13137925172465156</v>
      </c>
      <c r="BD309" s="200">
        <f t="shared" ref="BD309" si="4515">BD306*BD308</f>
        <v>0</v>
      </c>
      <c r="BE309" s="200">
        <f t="shared" ref="BE309" si="4516">BE306*BE308</f>
        <v>0</v>
      </c>
      <c r="BF309" s="200">
        <f t="shared" ref="BF309" si="4517">BF306*BF308</f>
        <v>0</v>
      </c>
      <c r="BG309" s="200">
        <f t="shared" ref="BG309" si="4518">BG306*BG308</f>
        <v>0</v>
      </c>
      <c r="BH309" s="200">
        <f t="shared" ref="BH309" si="4519">BH306*BH308</f>
        <v>0</v>
      </c>
      <c r="BI309" s="200">
        <f t="shared" ref="BI309" si="4520">BI306*BI308</f>
        <v>0</v>
      </c>
      <c r="BJ309" s="200">
        <f t="shared" ref="BJ309" si="4521">BJ306*BJ308</f>
        <v>0</v>
      </c>
      <c r="BK309" s="200">
        <f t="shared" ref="BK309" si="4522">BK306*BK308</f>
        <v>0</v>
      </c>
    </row>
    <row r="310" spans="1:63" ht="7.8" x14ac:dyDescent="0.15">
      <c r="A310" s="206" t="s">
        <v>97</v>
      </c>
      <c r="B310" s="192"/>
      <c r="C310" s="192"/>
      <c r="D310" s="192"/>
      <c r="E310" s="192"/>
      <c r="F310" s="192"/>
      <c r="G310" s="192"/>
      <c r="H310" s="192"/>
      <c r="I310" s="192"/>
      <c r="J310" s="192"/>
      <c r="K310" s="192"/>
      <c r="L310" s="192"/>
      <c r="M310" s="192"/>
      <c r="N310" s="192"/>
      <c r="O310" s="192"/>
      <c r="P310" s="192"/>
      <c r="Q310" s="192"/>
      <c r="R310" s="192"/>
      <c r="S310" s="192"/>
      <c r="T310" s="192"/>
      <c r="U310" s="192"/>
      <c r="V310" s="192"/>
      <c r="W310" s="192"/>
      <c r="X310" s="192"/>
      <c r="Y310" s="192"/>
      <c r="Z310" s="192"/>
      <c r="AA310" s="192"/>
      <c r="AB310" s="192"/>
      <c r="AC310" s="192"/>
      <c r="AD310" s="192"/>
      <c r="AE310" s="192"/>
      <c r="AF310" s="192"/>
      <c r="AG310" s="192"/>
      <c r="AH310" s="192"/>
      <c r="AI310" s="192"/>
      <c r="AJ310" s="192"/>
      <c r="AK310" s="223">
        <f>AK307*AK308</f>
        <v>142.61582770011495</v>
      </c>
      <c r="AL310" s="200">
        <f>AL307*AL308</f>
        <v>144.66967388878123</v>
      </c>
      <c r="AM310" s="200">
        <f t="shared" ref="AM310:BK310" si="4523">AM307*AM308</f>
        <v>146.75309802987206</v>
      </c>
      <c r="AN310" s="200">
        <f t="shared" si="4523"/>
        <v>148.86652608287474</v>
      </c>
      <c r="AO310" s="200">
        <f t="shared" si="4523"/>
        <v>90.606234084975441</v>
      </c>
      <c r="AP310" s="200">
        <f t="shared" si="4523"/>
        <v>91.911077113591688</v>
      </c>
      <c r="AQ310" s="200">
        <f t="shared" si="4523"/>
        <v>93.234711512873801</v>
      </c>
      <c r="AR310" s="200">
        <f t="shared" si="4523"/>
        <v>94.577407902048577</v>
      </c>
      <c r="AS310" s="200">
        <f t="shared" si="4523"/>
        <v>95.939440797597939</v>
      </c>
      <c r="AT310" s="200">
        <f t="shared" si="4523"/>
        <v>97.321088669384338</v>
      </c>
      <c r="AU310" s="200">
        <f t="shared" si="4523"/>
        <v>98.722633997584296</v>
      </c>
      <c r="AV310" s="200">
        <f t="shared" si="4523"/>
        <v>100.14436333044203</v>
      </c>
      <c r="AW310" s="200">
        <f t="shared" si="4523"/>
        <v>101.58656734285455</v>
      </c>
      <c r="AX310" s="200">
        <f t="shared" si="4523"/>
        <v>103.04954089580083</v>
      </c>
      <c r="AY310" s="200">
        <f t="shared" si="4523"/>
        <v>104.53358309662649</v>
      </c>
      <c r="AZ310" s="200">
        <f t="shared" si="4523"/>
        <v>106.03899736019677</v>
      </c>
      <c r="BA310" s="200">
        <f t="shared" si="4523"/>
        <v>107.5660914709303</v>
      </c>
      <c r="BB310" s="200">
        <f t="shared" si="4523"/>
        <v>109.11517764572605</v>
      </c>
      <c r="BC310" s="200">
        <f t="shared" si="4523"/>
        <v>110.68657259779656</v>
      </c>
      <c r="BD310" s="200">
        <f t="shared" si="4523"/>
        <v>0</v>
      </c>
      <c r="BE310" s="200">
        <f t="shared" si="4523"/>
        <v>0</v>
      </c>
      <c r="BF310" s="200">
        <f t="shared" si="4523"/>
        <v>0</v>
      </c>
      <c r="BG310" s="200">
        <f t="shared" si="4523"/>
        <v>0</v>
      </c>
      <c r="BH310" s="200">
        <f t="shared" si="4523"/>
        <v>0</v>
      </c>
      <c r="BI310" s="200">
        <f t="shared" si="4523"/>
        <v>0</v>
      </c>
      <c r="BJ310" s="200">
        <f t="shared" si="4523"/>
        <v>0</v>
      </c>
      <c r="BK310" s="200">
        <f t="shared" si="4523"/>
        <v>0</v>
      </c>
    </row>
    <row r="311" spans="1:63" ht="7.8" x14ac:dyDescent="0.15">
      <c r="A311" s="208" t="s">
        <v>203</v>
      </c>
      <c r="B311" s="192"/>
      <c r="C311" s="192"/>
      <c r="D311" s="192"/>
      <c r="E311" s="192"/>
      <c r="F311" s="192"/>
      <c r="G311" s="192"/>
      <c r="H311" s="192"/>
      <c r="I311" s="192"/>
      <c r="J311" s="192"/>
      <c r="K311" s="192"/>
      <c r="L311" s="192"/>
      <c r="M311" s="192"/>
      <c r="N311" s="192"/>
      <c r="O311" s="192"/>
      <c r="P311" s="192"/>
      <c r="Q311" s="192"/>
      <c r="R311" s="192"/>
      <c r="S311" s="192"/>
      <c r="T311" s="192"/>
      <c r="U311" s="192"/>
      <c r="V311" s="192"/>
      <c r="W311" s="192"/>
      <c r="X311" s="192"/>
      <c r="Y311" s="192"/>
      <c r="Z311" s="192"/>
      <c r="AA311" s="192"/>
      <c r="AB311" s="192"/>
      <c r="AC311" s="192"/>
      <c r="AD311" s="192"/>
      <c r="AE311" s="192"/>
      <c r="AF311" s="192"/>
      <c r="AG311" s="192"/>
      <c r="AH311" s="192"/>
      <c r="AI311" s="192"/>
      <c r="AJ311" s="192"/>
      <c r="AK311" s="224">
        <f>IF(AK303-101&lt;&gt;LoanSaleHeld,0,SUM($D310:AK310)*LoanSalePercent)</f>
        <v>0</v>
      </c>
      <c r="AL311" s="225">
        <f>IF(AL303-101&lt;&gt;LoanSaleHeld,0,SUM($D310:AL310)*LoanSalePercent)</f>
        <v>0</v>
      </c>
      <c r="AM311" s="225">
        <f>IF(AM303-101&lt;&gt;LoanSaleHeld,0,SUM($D310:AM310)*LoanSalePercent)</f>
        <v>0</v>
      </c>
      <c r="AN311" s="225">
        <f>IF(AN303-101&lt;&gt;LoanSaleHeld,0,SUM($D310:AN310)*LoanSalePercent)</f>
        <v>233.16205028065721</v>
      </c>
      <c r="AO311" s="225">
        <f>IF(AO303-101&lt;&gt;LoanSaleHeld,0,SUM($D310:AO310)*LoanSalePercent)</f>
        <v>0</v>
      </c>
      <c r="AP311" s="225">
        <f>IF(AP303-101&lt;&gt;LoanSaleHeld,0,SUM($D310:AP310)*LoanSalePercent)</f>
        <v>0</v>
      </c>
      <c r="AQ311" s="225">
        <f>IF(AQ303-101&lt;&gt;LoanSaleHeld,0,SUM($D310:AQ310)*LoanSalePercent)</f>
        <v>0</v>
      </c>
      <c r="AR311" s="225">
        <f>IF(AR303-101&lt;&gt;LoanSaleHeld,0,SUM($D310:AR310)*LoanSalePercent)</f>
        <v>0</v>
      </c>
      <c r="AS311" s="225">
        <f>IF(AS303-101&lt;&gt;LoanSaleHeld,0,SUM($D310:AS310)*LoanSalePercent)</f>
        <v>0</v>
      </c>
      <c r="AT311" s="225">
        <f>IF(AT303-101&lt;&gt;LoanSaleHeld,0,SUM($D310:AT310)*LoanSalePercent)</f>
        <v>0</v>
      </c>
      <c r="AU311" s="225">
        <f>IF(AU303-101&lt;&gt;LoanSaleHeld,0,SUM($D310:AU310)*LoanSalePercent)</f>
        <v>0</v>
      </c>
      <c r="AV311" s="225">
        <f>IF(AV303-101&lt;&gt;LoanSaleHeld,0,SUM($D310:AV310)*LoanSalePercent)</f>
        <v>0</v>
      </c>
      <c r="AW311" s="225">
        <f>IF(AW303-101&lt;&gt;LoanSaleHeld,0,SUM($D310:AW310)*LoanSalePercent)</f>
        <v>0</v>
      </c>
      <c r="AX311" s="225">
        <f>IF(AX303-101&lt;&gt;LoanSaleHeld,0,SUM($D310:AX310)*LoanSalePercent)</f>
        <v>0</v>
      </c>
      <c r="AY311" s="225">
        <f>IF(AY303-101&lt;&gt;LoanSaleHeld,0,SUM($D310:AY310)*LoanSalePercent)</f>
        <v>0</v>
      </c>
      <c r="AZ311" s="225">
        <f>IF(AZ303-101&lt;&gt;LoanSaleHeld,0,SUM($D310:AZ310)*LoanSalePercent)</f>
        <v>0</v>
      </c>
      <c r="BA311" s="225">
        <f>IF(BA303-101&lt;&gt;LoanSaleHeld,0,SUM($D310:BA310)*LoanSalePercent)</f>
        <v>0</v>
      </c>
      <c r="BB311" s="225">
        <f>IF(BB303-101&lt;&gt;LoanSaleHeld,0,SUM($D310:BB310)*LoanSalePercent)</f>
        <v>0</v>
      </c>
      <c r="BC311" s="225">
        <f>IF(BC303-101&lt;&gt;LoanSaleHeld,0,SUM($D310:BC310)*LoanSalePercent)</f>
        <v>0</v>
      </c>
      <c r="BD311" s="225">
        <f>IF(BD303-101&lt;&gt;LoanSaleHeld,0,SUM($D310:BD310)*LoanSalePercent)</f>
        <v>0</v>
      </c>
      <c r="BE311" s="225">
        <f>IF(BE303-101&lt;&gt;LoanSaleHeld,0,SUM($D310:BE310)*LoanSalePercent)</f>
        <v>0</v>
      </c>
      <c r="BF311" s="225">
        <f>IF(BF303-101&lt;&gt;LoanSaleHeld,0,SUM($D310:BF310)*LoanSalePercent)</f>
        <v>0</v>
      </c>
      <c r="BG311" s="225">
        <f>IF(BG303-101&lt;&gt;LoanSaleHeld,0,SUM($D310:BG310)*LoanSalePercent)</f>
        <v>0</v>
      </c>
      <c r="BH311" s="225">
        <f>IF(BH303-101&lt;&gt;LoanSaleHeld,0,SUM($D310:BH310)*LoanSalePercent)</f>
        <v>0</v>
      </c>
      <c r="BI311" s="225">
        <f>IF(BI303-101&lt;&gt;LoanSaleHeld,0,SUM($D310:BI310)*LoanSalePercent)</f>
        <v>0</v>
      </c>
      <c r="BJ311" s="225">
        <f>IF(BJ303-101&lt;&gt;LoanSaleHeld,0,SUM($D310:BJ310)*LoanSalePercent)</f>
        <v>0</v>
      </c>
      <c r="BK311" s="225">
        <f>IF(BK303-101&lt;&gt;LoanSaleHeld,0,SUM($D310:BK310)*LoanSalePercent)</f>
        <v>0</v>
      </c>
    </row>
    <row r="312" spans="1:63" ht="7.8" x14ac:dyDescent="0.15">
      <c r="A312" s="204">
        <f t="shared" ref="A312" si="4524">A303+1</f>
        <v>35</v>
      </c>
      <c r="B312" s="192"/>
      <c r="C312" s="192"/>
      <c r="D312" s="192"/>
      <c r="E312" s="192"/>
      <c r="F312" s="192"/>
      <c r="G312" s="192"/>
      <c r="H312" s="192"/>
      <c r="I312" s="192"/>
      <c r="J312" s="192"/>
      <c r="K312" s="192"/>
      <c r="L312" s="192"/>
      <c r="M312" s="192"/>
      <c r="N312" s="192"/>
      <c r="O312" s="192"/>
      <c r="P312" s="192"/>
      <c r="Q312" s="192"/>
      <c r="R312" s="192"/>
      <c r="S312" s="192"/>
      <c r="T312" s="192"/>
      <c r="U312" s="192"/>
      <c r="V312" s="192"/>
      <c r="W312" s="192"/>
      <c r="X312" s="192"/>
      <c r="Y312" s="192"/>
      <c r="Z312" s="192"/>
      <c r="AA312" s="192"/>
      <c r="AB312" s="192"/>
      <c r="AC312" s="192"/>
      <c r="AD312" s="192"/>
      <c r="AE312" s="192"/>
      <c r="AF312" s="192"/>
      <c r="AG312" s="192"/>
      <c r="AH312" s="192"/>
      <c r="AI312" s="192"/>
      <c r="AJ312" s="192"/>
      <c r="AK312" s="192"/>
      <c r="AL312" s="195">
        <v>101</v>
      </c>
      <c r="AM312" s="196">
        <f t="shared" ref="AM312" si="4525">IF(AM313=0,0,AL312+1)</f>
        <v>102</v>
      </c>
      <c r="AN312" s="196">
        <f t="shared" ref="AN312" si="4526">IF(AN313=0,0,AM312+1)</f>
        <v>103</v>
      </c>
      <c r="AO312" s="196">
        <f t="shared" ref="AO312" si="4527">IF(AO313=0,0,AN312+1)</f>
        <v>104</v>
      </c>
      <c r="AP312" s="196">
        <f t="shared" ref="AP312" si="4528">IF(AP313=0,0,AO312+1)</f>
        <v>105</v>
      </c>
      <c r="AQ312" s="196">
        <f t="shared" ref="AQ312" si="4529">IF(AQ313=0,0,AP312+1)</f>
        <v>106</v>
      </c>
      <c r="AR312" s="196">
        <f t="shared" ref="AR312" si="4530">IF(AR313=0,0,AQ312+1)</f>
        <v>107</v>
      </c>
      <c r="AS312" s="196">
        <f t="shared" ref="AS312" si="4531">IF(AS313=0,0,AR312+1)</f>
        <v>108</v>
      </c>
      <c r="AT312" s="196">
        <f t="shared" ref="AT312" si="4532">IF(AT313=0,0,AS312+1)</f>
        <v>109</v>
      </c>
      <c r="AU312" s="196">
        <f t="shared" ref="AU312" si="4533">IF(AU313=0,0,AT312+1)</f>
        <v>110</v>
      </c>
      <c r="AV312" s="196">
        <f t="shared" ref="AV312" si="4534">IF(AV313=0,0,AU312+1)</f>
        <v>111</v>
      </c>
      <c r="AW312" s="196">
        <f t="shared" ref="AW312" si="4535">IF(AW313=0,0,AV312+1)</f>
        <v>112</v>
      </c>
      <c r="AX312" s="196">
        <f t="shared" ref="AX312" si="4536">IF(AX313=0,0,AW312+1)</f>
        <v>113</v>
      </c>
      <c r="AY312" s="196">
        <f t="shared" ref="AY312" si="4537">IF(AY313=0,0,AX312+1)</f>
        <v>114</v>
      </c>
      <c r="AZ312" s="196">
        <f t="shared" ref="AZ312" si="4538">IF(AZ313=0,0,AY312+1)</f>
        <v>115</v>
      </c>
      <c r="BA312" s="196">
        <f t="shared" ref="BA312" si="4539">IF(BA313=0,0,AZ312+1)</f>
        <v>116</v>
      </c>
      <c r="BB312" s="196">
        <f t="shared" ref="BB312" si="4540">IF(BB313=0,0,BA312+1)</f>
        <v>117</v>
      </c>
      <c r="BC312" s="196">
        <f t="shared" ref="BC312" si="4541">IF(BC313=0,0,BB312+1)</f>
        <v>118</v>
      </c>
      <c r="BD312" s="196">
        <f t="shared" ref="BD312" si="4542">IF(BD313=0,0,BC312+1)</f>
        <v>119</v>
      </c>
      <c r="BE312" s="196">
        <f t="shared" ref="BE312" si="4543">IF(BE313=0,0,BD312+1)</f>
        <v>0</v>
      </c>
      <c r="BF312" s="196">
        <f t="shared" ref="BF312" si="4544">IF(BF313=0,0,BE312+1)</f>
        <v>0</v>
      </c>
      <c r="BG312" s="196">
        <f t="shared" ref="BG312" si="4545">IF(BG313=0,0,BF312+1)</f>
        <v>0</v>
      </c>
      <c r="BH312" s="196">
        <f t="shared" ref="BH312" si="4546">IF(BH313=0,0,BG312+1)</f>
        <v>0</v>
      </c>
      <c r="BI312" s="196">
        <f t="shared" ref="BI312" si="4547">IF(BI313=0,0,BH312+1)</f>
        <v>0</v>
      </c>
      <c r="BJ312" s="196">
        <f t="shared" ref="BJ312" si="4548">IF(BJ313=0,0,BI312+1)</f>
        <v>0</v>
      </c>
      <c r="BK312" s="196">
        <f t="shared" ref="BK312" si="4549">IF(BK313=0,0,BJ312+1)</f>
        <v>0</v>
      </c>
    </row>
    <row r="313" spans="1:63" ht="7.8" x14ac:dyDescent="0.15">
      <c r="A313" s="216" t="s">
        <v>178</v>
      </c>
      <c r="B313" s="192"/>
      <c r="C313" s="192"/>
      <c r="D313" s="192"/>
      <c r="E313" s="192"/>
      <c r="F313" s="192"/>
      <c r="G313" s="192"/>
      <c r="H313" s="192"/>
      <c r="I313" s="192"/>
      <c r="J313" s="192"/>
      <c r="K313" s="192"/>
      <c r="L313" s="192"/>
      <c r="M313" s="192"/>
      <c r="N313" s="192"/>
      <c r="O313" s="192"/>
      <c r="P313" s="192"/>
      <c r="Q313" s="192"/>
      <c r="R313" s="192"/>
      <c r="S313" s="192"/>
      <c r="T313" s="192"/>
      <c r="U313" s="192"/>
      <c r="V313" s="192"/>
      <c r="W313" s="192"/>
      <c r="X313" s="192"/>
      <c r="Y313" s="192"/>
      <c r="Z313" s="192"/>
      <c r="AA313" s="192"/>
      <c r="AB313" s="192"/>
      <c r="AC313" s="192"/>
      <c r="AD313" s="192"/>
      <c r="AE313" s="192"/>
      <c r="AF313" s="192"/>
      <c r="AG313" s="192"/>
      <c r="AH313" s="192"/>
      <c r="AI313" s="192"/>
      <c r="AJ313" s="192"/>
      <c r="AK313" s="192"/>
      <c r="AL313" s="217">
        <f>LoanSize</f>
        <v>25</v>
      </c>
      <c r="AM313" s="215">
        <f>IF(AL313-AL316&lt;=0.1,0,AL313-AL316)</f>
        <v>23.79027212253634</v>
      </c>
      <c r="AN313" s="215">
        <f t="shared" ref="AN313:BK313" si="4550">IF(AM313-AM316&lt;=0.1,0,AM313-AM316)</f>
        <v>22.56189427362845</v>
      </c>
      <c r="AO313" s="215">
        <f t="shared" si="4550"/>
        <v>21.314578932883229</v>
      </c>
      <c r="AP313" s="215">
        <f t="shared" si="4550"/>
        <v>20.048034147301522</v>
      </c>
      <c r="AQ313" s="215">
        <f t="shared" si="4550"/>
        <v>18.761963462942095</v>
      </c>
      <c r="AR313" s="215">
        <f t="shared" si="4550"/>
        <v>17.456065855532128</v>
      </c>
      <c r="AS313" s="215">
        <f t="shared" si="4550"/>
        <v>16.130035660007923</v>
      </c>
      <c r="AT313" s="215">
        <f t="shared" si="4550"/>
        <v>14.783562498969387</v>
      </c>
      <c r="AU313" s="215">
        <f t="shared" si="4550"/>
        <v>13.416331210031506</v>
      </c>
      <c r="AV313" s="215">
        <f t="shared" si="4550"/>
        <v>12.028021772055833</v>
      </c>
      <c r="AW313" s="215">
        <f t="shared" si="4550"/>
        <v>10.618309230244702</v>
      </c>
      <c r="AX313" s="215">
        <f t="shared" si="4550"/>
        <v>9.1868636200806488</v>
      </c>
      <c r="AY313" s="215">
        <f t="shared" si="4550"/>
        <v>7.7333498900932334</v>
      </c>
      <c r="AZ313" s="215">
        <f t="shared" si="4550"/>
        <v>6.2574278234351794</v>
      </c>
      <c r="BA313" s="215">
        <f t="shared" si="4550"/>
        <v>4.7587519582494799</v>
      </c>
      <c r="BB313" s="215">
        <f t="shared" si="4550"/>
        <v>3.2369715068088345</v>
      </c>
      <c r="BC313" s="215">
        <f t="shared" si="4550"/>
        <v>1.6917302734084789</v>
      </c>
      <c r="BD313" s="215">
        <f t="shared" si="4550"/>
        <v>0.12266657099320111</v>
      </c>
      <c r="BE313" s="215">
        <f t="shared" si="4550"/>
        <v>0</v>
      </c>
      <c r="BF313" s="215">
        <f t="shared" si="4550"/>
        <v>0</v>
      </c>
      <c r="BG313" s="215">
        <f t="shared" si="4550"/>
        <v>0</v>
      </c>
      <c r="BH313" s="215">
        <f t="shared" si="4550"/>
        <v>0</v>
      </c>
      <c r="BI313" s="215">
        <f t="shared" si="4550"/>
        <v>0</v>
      </c>
      <c r="BJ313" s="215">
        <f t="shared" si="4550"/>
        <v>0</v>
      </c>
      <c r="BK313" s="215">
        <f t="shared" si="4550"/>
        <v>0</v>
      </c>
    </row>
    <row r="314" spans="1:63" ht="7.8" x14ac:dyDescent="0.15">
      <c r="A314" s="218" t="s">
        <v>179</v>
      </c>
      <c r="B314" s="192"/>
      <c r="C314" s="192"/>
      <c r="D314" s="192"/>
      <c r="E314" s="192"/>
      <c r="F314" s="192"/>
      <c r="G314" s="192"/>
      <c r="H314" s="192"/>
      <c r="I314" s="192"/>
      <c r="J314" s="192"/>
      <c r="K314" s="192"/>
      <c r="L314" s="192"/>
      <c r="M314" s="192"/>
      <c r="N314" s="192"/>
      <c r="O314" s="192"/>
      <c r="P314" s="192"/>
      <c r="Q314" s="192"/>
      <c r="R314" s="192"/>
      <c r="S314" s="192"/>
      <c r="T314" s="192"/>
      <c r="U314" s="192"/>
      <c r="V314" s="192"/>
      <c r="W314" s="192"/>
      <c r="X314" s="192"/>
      <c r="Y314" s="192"/>
      <c r="Z314" s="192"/>
      <c r="AA314" s="192"/>
      <c r="AB314" s="192"/>
      <c r="AC314" s="192"/>
      <c r="AD314" s="192"/>
      <c r="AE314" s="192"/>
      <c r="AF314" s="192"/>
      <c r="AG314" s="192"/>
      <c r="AH314" s="192"/>
      <c r="AI314" s="192"/>
      <c r="AJ314" s="192"/>
      <c r="AK314" s="192"/>
      <c r="AL314" s="219">
        <f>IF(AL313=0,0,PMT(INDEX(LoanCohortRate,1),LoanTerm, -LoanSize))</f>
        <v>1.5951445441303251</v>
      </c>
      <c r="AM314" s="222">
        <f t="shared" ref="AM314" si="4551">IF(AM313=0,0, AL314)</f>
        <v>1.5951445441303251</v>
      </c>
      <c r="AN314" s="222">
        <f t="shared" ref="AN314" si="4552">IF(AN313=0,0, AM314)</f>
        <v>1.5951445441303251</v>
      </c>
      <c r="AO314" s="222">
        <f t="shared" ref="AO314" si="4553">IF(AO313=0,0, AN314)</f>
        <v>1.5951445441303251</v>
      </c>
      <c r="AP314" s="222">
        <f t="shared" ref="AP314" si="4554">IF(AP313=0,0, AO314)</f>
        <v>1.5951445441303251</v>
      </c>
      <c r="AQ314" s="222">
        <f t="shared" ref="AQ314" si="4555">IF(AQ313=0,0, AP314)</f>
        <v>1.5951445441303251</v>
      </c>
      <c r="AR314" s="222">
        <f t="shared" ref="AR314" si="4556">IF(AR313=0,0, AQ314)</f>
        <v>1.5951445441303251</v>
      </c>
      <c r="AS314" s="222">
        <f t="shared" ref="AS314" si="4557">IF(AS313=0,0, AR314)</f>
        <v>1.5951445441303251</v>
      </c>
      <c r="AT314" s="222">
        <f t="shared" ref="AT314" si="4558">IF(AT313=0,0, AS314)</f>
        <v>1.5951445441303251</v>
      </c>
      <c r="AU314" s="222">
        <f t="shared" ref="AU314" si="4559">IF(AU313=0,0, AT314)</f>
        <v>1.5951445441303251</v>
      </c>
      <c r="AV314" s="222">
        <f t="shared" ref="AV314" si="4560">IF(AV313=0,0, AU314)</f>
        <v>1.5951445441303251</v>
      </c>
      <c r="AW314" s="222">
        <f t="shared" ref="AW314" si="4561">IF(AW313=0,0, AV314)</f>
        <v>1.5951445441303251</v>
      </c>
      <c r="AX314" s="222">
        <f t="shared" ref="AX314" si="4562">IF(AX313=0,0, AW314)</f>
        <v>1.5951445441303251</v>
      </c>
      <c r="AY314" s="222">
        <f t="shared" ref="AY314" si="4563">IF(AY313=0,0, AX314)</f>
        <v>1.5951445441303251</v>
      </c>
      <c r="AZ314" s="222">
        <f t="shared" ref="AZ314" si="4564">IF(AZ313=0,0, AY314)</f>
        <v>1.5951445441303251</v>
      </c>
      <c r="BA314" s="222">
        <f t="shared" ref="BA314" si="4565">IF(BA313=0,0, AZ314)</f>
        <v>1.5951445441303251</v>
      </c>
      <c r="BB314" s="222">
        <f t="shared" ref="BB314" si="4566">IF(BB313=0,0, BA314)</f>
        <v>1.5951445441303251</v>
      </c>
      <c r="BC314" s="222">
        <f t="shared" ref="BC314" si="4567">IF(BC313=0,0, BB314)</f>
        <v>1.5951445441303251</v>
      </c>
      <c r="BD314" s="222">
        <f t="shared" ref="BD314" si="4568">IF(BD313=0,0, BC314)</f>
        <v>1.5951445441303251</v>
      </c>
      <c r="BE314" s="222">
        <f t="shared" ref="BE314" si="4569">IF(BE313=0,0, BD314)</f>
        <v>0</v>
      </c>
      <c r="BF314" s="222">
        <f t="shared" ref="BF314" si="4570">IF(BF313=0,0, BE314)</f>
        <v>0</v>
      </c>
      <c r="BG314" s="222">
        <f t="shared" ref="BG314" si="4571">IF(BG313=0,0, BF314)</f>
        <v>0</v>
      </c>
      <c r="BH314" s="222">
        <f t="shared" ref="BH314" si="4572">IF(BH313=0,0, BG314)</f>
        <v>0</v>
      </c>
      <c r="BI314" s="222">
        <f t="shared" ref="BI314" si="4573">IF(BI313=0,0, BH314)</f>
        <v>0</v>
      </c>
      <c r="BJ314" s="222">
        <f t="shared" ref="BJ314" si="4574">IF(BJ313=0,0, BI314)</f>
        <v>0</v>
      </c>
      <c r="BK314" s="222">
        <f t="shared" ref="BK314" si="4575">IF(BK313=0,0, BJ314)</f>
        <v>0</v>
      </c>
    </row>
    <row r="315" spans="1:63" ht="7.8" x14ac:dyDescent="0.15">
      <c r="A315" s="218" t="s">
        <v>180</v>
      </c>
      <c r="B315" s="192"/>
      <c r="C315" s="192"/>
      <c r="D315" s="192"/>
      <c r="E315" s="192"/>
      <c r="F315" s="192"/>
      <c r="G315" s="192"/>
      <c r="H315" s="192"/>
      <c r="I315" s="192"/>
      <c r="J315" s="192"/>
      <c r="K315" s="192"/>
      <c r="L315" s="192"/>
      <c r="M315" s="192"/>
      <c r="N315" s="192"/>
      <c r="O315" s="192"/>
      <c r="P315" s="192"/>
      <c r="Q315" s="192"/>
      <c r="R315" s="192"/>
      <c r="S315" s="192"/>
      <c r="T315" s="192"/>
      <c r="U315" s="192"/>
      <c r="V315" s="192"/>
      <c r="W315" s="192"/>
      <c r="X315" s="192"/>
      <c r="Y315" s="192"/>
      <c r="Z315" s="192"/>
      <c r="AA315" s="192"/>
      <c r="AB315" s="192"/>
      <c r="AC315" s="192"/>
      <c r="AD315" s="192"/>
      <c r="AE315" s="192"/>
      <c r="AF315" s="192"/>
      <c r="AG315" s="192"/>
      <c r="AH315" s="192"/>
      <c r="AI315" s="192"/>
      <c r="AJ315" s="192"/>
      <c r="AK315" s="192"/>
      <c r="AL315" s="220" cm="1">
        <f t="array" ref="AL315">AL313*INDEX(LoanCohortRate,$A312)</f>
        <v>0.38541666666666669</v>
      </c>
      <c r="AM315" s="221" cm="1">
        <f t="array" ref="AM315">AM313*INDEX(LoanCohortRate,$A312)</f>
        <v>0.36676669522243527</v>
      </c>
      <c r="AN315" s="221" cm="1">
        <f t="array" ref="AN315">AN313*INDEX(LoanCohortRate,$A312)</f>
        <v>0.34782920338510526</v>
      </c>
      <c r="AO315" s="221" cm="1">
        <f t="array" ref="AO315">AO313*INDEX(LoanCohortRate,$A312)</f>
        <v>0.32859975854861645</v>
      </c>
      <c r="AP315" s="221" cm="1">
        <f t="array" ref="AP315">AP313*INDEX(LoanCohortRate,$A312)</f>
        <v>0.30907385977089846</v>
      </c>
      <c r="AQ315" s="221" cm="1">
        <f t="array" ref="AQ315">AQ313*INDEX(LoanCohortRate,$A312)</f>
        <v>0.28924693672035728</v>
      </c>
      <c r="AR315" s="221" cm="1">
        <f t="array" ref="AR315">AR313*INDEX(LoanCohortRate,$A312)</f>
        <v>0.26911434860612032</v>
      </c>
      <c r="AS315" s="221" cm="1">
        <f t="array" ref="AS315">AS313*INDEX(LoanCohortRate,$A312)</f>
        <v>0.24867138309178882</v>
      </c>
      <c r="AT315" s="221" cm="1">
        <f t="array" ref="AT315">AT313*INDEX(LoanCohortRate,$A312)</f>
        <v>0.22791325519244471</v>
      </c>
      <c r="AU315" s="221" cm="1">
        <f t="array" ref="AU315">AU313*INDEX(LoanCohortRate,$A312)</f>
        <v>0.20683510615465239</v>
      </c>
      <c r="AV315" s="221" cm="1">
        <f t="array" ref="AV315">AV313*INDEX(LoanCohortRate,$A312)</f>
        <v>0.1854320023191941</v>
      </c>
      <c r="AW315" s="221" cm="1">
        <f t="array" ref="AW315">AW313*INDEX(LoanCohortRate,$A312)</f>
        <v>0.1636989339662725</v>
      </c>
      <c r="AX315" s="221" cm="1">
        <f t="array" ref="AX315">AX313*INDEX(LoanCohortRate,$A312)</f>
        <v>0.14163081414291001</v>
      </c>
      <c r="AY315" s="221" cm="1">
        <f t="array" ref="AY315">AY313*INDEX(LoanCohortRate,$A312)</f>
        <v>0.11922247747227069</v>
      </c>
      <c r="AZ315" s="221" cm="1">
        <f t="array" ref="AZ315">AZ313*INDEX(LoanCohortRate,$A312)</f>
        <v>9.6468678944625685E-2</v>
      </c>
      <c r="BA315" s="221" cm="1">
        <f t="array" ref="BA315">BA313*INDEX(LoanCohortRate,$A312)</f>
        <v>7.3364092689679486E-2</v>
      </c>
      <c r="BB315" s="221" cm="1">
        <f t="array" ref="BB315">BB313*INDEX(LoanCohortRate,$A312)</f>
        <v>4.9903310729969536E-2</v>
      </c>
      <c r="BC315" s="221" cm="1">
        <f t="array" ref="BC315">BC313*INDEX(LoanCohortRate,$A312)</f>
        <v>2.6080841715047383E-2</v>
      </c>
      <c r="BD315" s="221" cm="1">
        <f t="array" ref="BD315">BD313*INDEX(LoanCohortRate,$A312)</f>
        <v>1.8911096361451838E-3</v>
      </c>
      <c r="BE315" s="221" cm="1">
        <f t="array" ref="BE315">BE313*INDEX(LoanCohortRate,$A312)</f>
        <v>0</v>
      </c>
      <c r="BF315" s="221" cm="1">
        <f t="array" ref="BF315">BF313*INDEX(LoanCohortRate,$A312)</f>
        <v>0</v>
      </c>
      <c r="BG315" s="221" cm="1">
        <f t="array" ref="BG315">BG313*INDEX(LoanCohortRate,$A312)</f>
        <v>0</v>
      </c>
      <c r="BH315" s="221" cm="1">
        <f t="array" ref="BH315">BH313*INDEX(LoanCohortRate,$A312)</f>
        <v>0</v>
      </c>
      <c r="BI315" s="221" cm="1">
        <f t="array" ref="BI315">BI313*INDEX(LoanCohortRate,$A312)</f>
        <v>0</v>
      </c>
      <c r="BJ315" s="221" cm="1">
        <f t="array" ref="BJ315">BJ313*INDEX(LoanCohortRate,$A312)</f>
        <v>0</v>
      </c>
      <c r="BK315" s="221" cm="1">
        <f t="array" ref="BK315">BK313*INDEX(LoanCohortRate,$A312)</f>
        <v>0</v>
      </c>
    </row>
    <row r="316" spans="1:63" ht="7.8" x14ac:dyDescent="0.15">
      <c r="A316" s="218" t="s">
        <v>177</v>
      </c>
      <c r="B316" s="192"/>
      <c r="C316" s="192"/>
      <c r="D316" s="192"/>
      <c r="E316" s="192"/>
      <c r="F316" s="192"/>
      <c r="G316" s="192"/>
      <c r="H316" s="192"/>
      <c r="I316" s="192"/>
      <c r="J316" s="192"/>
      <c r="K316" s="192"/>
      <c r="L316" s="192"/>
      <c r="M316" s="192"/>
      <c r="N316" s="192"/>
      <c r="O316" s="192"/>
      <c r="P316" s="192"/>
      <c r="Q316" s="192"/>
      <c r="R316" s="192"/>
      <c r="S316" s="192"/>
      <c r="T316" s="192"/>
      <c r="U316" s="192"/>
      <c r="V316" s="192"/>
      <c r="W316" s="192"/>
      <c r="X316" s="192"/>
      <c r="Y316" s="192"/>
      <c r="Z316" s="192"/>
      <c r="AA316" s="192"/>
      <c r="AB316" s="192"/>
      <c r="AC316" s="192"/>
      <c r="AD316" s="192"/>
      <c r="AE316" s="192"/>
      <c r="AF316" s="192"/>
      <c r="AG316" s="192"/>
      <c r="AH316" s="192"/>
      <c r="AI316" s="192"/>
      <c r="AJ316" s="192"/>
      <c r="AK316" s="192"/>
      <c r="AL316" s="219">
        <f>AL314-AL315</f>
        <v>1.2097278774636584</v>
      </c>
      <c r="AM316" s="222">
        <f t="shared" ref="AM316:BK316" si="4576">AM314-AM315</f>
        <v>1.2283778489078898</v>
      </c>
      <c r="AN316" s="222">
        <f t="shared" si="4576"/>
        <v>1.24731534074522</v>
      </c>
      <c r="AO316" s="222">
        <f t="shared" si="4576"/>
        <v>1.2665447855817087</v>
      </c>
      <c r="AP316" s="222">
        <f t="shared" si="4576"/>
        <v>1.2860706843594267</v>
      </c>
      <c r="AQ316" s="222">
        <f t="shared" si="4576"/>
        <v>1.305897607409968</v>
      </c>
      <c r="AR316" s="222">
        <f t="shared" si="4576"/>
        <v>1.3260301955242049</v>
      </c>
      <c r="AS316" s="222">
        <f t="shared" si="4576"/>
        <v>1.3464731610385363</v>
      </c>
      <c r="AT316" s="222">
        <f t="shared" si="4576"/>
        <v>1.3672312889378804</v>
      </c>
      <c r="AU316" s="222">
        <f t="shared" si="4576"/>
        <v>1.3883094379756726</v>
      </c>
      <c r="AV316" s="222">
        <f t="shared" si="4576"/>
        <v>1.4097125418111309</v>
      </c>
      <c r="AW316" s="222">
        <f t="shared" si="4576"/>
        <v>1.4314456101640527</v>
      </c>
      <c r="AX316" s="222">
        <f t="shared" si="4576"/>
        <v>1.453513729987415</v>
      </c>
      <c r="AY316" s="222">
        <f t="shared" si="4576"/>
        <v>1.4759220666580544</v>
      </c>
      <c r="AZ316" s="222">
        <f t="shared" si="4576"/>
        <v>1.4986758651856995</v>
      </c>
      <c r="BA316" s="222">
        <f t="shared" si="4576"/>
        <v>1.5217804514406457</v>
      </c>
      <c r="BB316" s="222">
        <f t="shared" si="4576"/>
        <v>1.5452412334003556</v>
      </c>
      <c r="BC316" s="222">
        <f t="shared" si="4576"/>
        <v>1.5690637024152778</v>
      </c>
      <c r="BD316" s="222">
        <f t="shared" si="4576"/>
        <v>1.59325343449418</v>
      </c>
      <c r="BE316" s="222">
        <f t="shared" si="4576"/>
        <v>0</v>
      </c>
      <c r="BF316" s="222">
        <f t="shared" si="4576"/>
        <v>0</v>
      </c>
      <c r="BG316" s="222">
        <f t="shared" si="4576"/>
        <v>0</v>
      </c>
      <c r="BH316" s="222">
        <f t="shared" si="4576"/>
        <v>0</v>
      </c>
      <c r="BI316" s="222">
        <f t="shared" si="4576"/>
        <v>0</v>
      </c>
      <c r="BJ316" s="222">
        <f t="shared" si="4576"/>
        <v>0</v>
      </c>
      <c r="BK316" s="222">
        <f t="shared" si="4576"/>
        <v>0</v>
      </c>
    </row>
    <row r="317" spans="1:63" ht="7.8" x14ac:dyDescent="0.15">
      <c r="A317" s="205" t="s">
        <v>7</v>
      </c>
      <c r="B317" s="192"/>
      <c r="C317" s="192"/>
      <c r="D317" s="192"/>
      <c r="E317" s="192"/>
      <c r="F317" s="192"/>
      <c r="G317" s="192"/>
      <c r="H317" s="192"/>
      <c r="I317" s="192"/>
      <c r="J317" s="192"/>
      <c r="K317" s="192"/>
      <c r="L317" s="192"/>
      <c r="M317" s="192"/>
      <c r="N317" s="192"/>
      <c r="O317" s="192"/>
      <c r="P317" s="192"/>
      <c r="Q317" s="192"/>
      <c r="R317" s="192"/>
      <c r="S317" s="192"/>
      <c r="T317" s="192"/>
      <c r="U317" s="192"/>
      <c r="V317" s="192"/>
      <c r="W317" s="192"/>
      <c r="X317" s="192"/>
      <c r="Y317" s="192"/>
      <c r="Z317" s="192"/>
      <c r="AA317" s="192"/>
      <c r="AB317" s="192"/>
      <c r="AC317" s="192"/>
      <c r="AD317" s="192"/>
      <c r="AE317" s="192"/>
      <c r="AF317" s="192"/>
      <c r="AG317" s="192"/>
      <c r="AH317" s="192"/>
      <c r="AI317" s="192"/>
      <c r="AJ317" s="192"/>
      <c r="AK317" s="192"/>
      <c r="AL317" s="214" cm="1">
        <f t="array" ref="AL317">INDEX(LoanOriginations,$A312)</f>
        <v>118.48028759915989</v>
      </c>
      <c r="AM317" s="199">
        <f t="shared" ref="AM317:BK317" si="4577">AL317*(1-MitigateDelinquency*MitigateChargeoff)  *  IF(AM312=0,0,IF(AM312-102=LoanSaleHeld,0.6,1))</f>
        <v>118.36180731156074</v>
      </c>
      <c r="AN317" s="199">
        <f t="shared" si="4577"/>
        <v>118.24344550424918</v>
      </c>
      <c r="AO317" s="199">
        <f t="shared" si="4577"/>
        <v>118.12520205874493</v>
      </c>
      <c r="AP317" s="199">
        <f t="shared" si="4577"/>
        <v>70.804246114011704</v>
      </c>
      <c r="AQ317" s="199">
        <f t="shared" si="4577"/>
        <v>70.733441867897696</v>
      </c>
      <c r="AR317" s="199">
        <f t="shared" si="4577"/>
        <v>70.662708426029795</v>
      </c>
      <c r="AS317" s="199">
        <f t="shared" si="4577"/>
        <v>70.592045717603767</v>
      </c>
      <c r="AT317" s="199">
        <f t="shared" si="4577"/>
        <v>70.521453671886164</v>
      </c>
      <c r="AU317" s="199">
        <f t="shared" si="4577"/>
        <v>70.450932218214277</v>
      </c>
      <c r="AV317" s="199">
        <f t="shared" si="4577"/>
        <v>70.380481285996069</v>
      </c>
      <c r="AW317" s="199">
        <f t="shared" si="4577"/>
        <v>70.310100804710075</v>
      </c>
      <c r="AX317" s="199">
        <f t="shared" si="4577"/>
        <v>70.239790703905371</v>
      </c>
      <c r="AY317" s="199">
        <f t="shared" si="4577"/>
        <v>70.169550913201462</v>
      </c>
      <c r="AZ317" s="199">
        <f t="shared" si="4577"/>
        <v>70.099381362288256</v>
      </c>
      <c r="BA317" s="199">
        <f t="shared" si="4577"/>
        <v>70.029281980925973</v>
      </c>
      <c r="BB317" s="199">
        <f t="shared" si="4577"/>
        <v>69.95925269894505</v>
      </c>
      <c r="BC317" s="199">
        <f t="shared" si="4577"/>
        <v>69.8892934462461</v>
      </c>
      <c r="BD317" s="199">
        <f t="shared" si="4577"/>
        <v>69.819404152799848</v>
      </c>
      <c r="BE317" s="199">
        <f t="shared" si="4577"/>
        <v>0</v>
      </c>
      <c r="BF317" s="199">
        <f t="shared" si="4577"/>
        <v>0</v>
      </c>
      <c r="BG317" s="199">
        <f t="shared" si="4577"/>
        <v>0</v>
      </c>
      <c r="BH317" s="199">
        <f t="shared" si="4577"/>
        <v>0</v>
      </c>
      <c r="BI317" s="199">
        <f t="shared" si="4577"/>
        <v>0</v>
      </c>
      <c r="BJ317" s="199">
        <f t="shared" si="4577"/>
        <v>0</v>
      </c>
      <c r="BK317" s="199">
        <f t="shared" si="4577"/>
        <v>0</v>
      </c>
    </row>
    <row r="318" spans="1:63" ht="7.8" x14ac:dyDescent="0.15">
      <c r="A318" s="207" t="s">
        <v>96</v>
      </c>
      <c r="B318" s="192"/>
      <c r="C318" s="192"/>
      <c r="D318" s="192"/>
      <c r="E318" s="192"/>
      <c r="F318" s="192"/>
      <c r="G318" s="192"/>
      <c r="H318" s="192"/>
      <c r="I318" s="192"/>
      <c r="J318" s="192"/>
      <c r="K318" s="192"/>
      <c r="L318" s="192"/>
      <c r="M318" s="192"/>
      <c r="N318" s="192"/>
      <c r="O318" s="192"/>
      <c r="P318" s="192"/>
      <c r="Q318" s="192"/>
      <c r="R318" s="192"/>
      <c r="S318" s="192"/>
      <c r="T318" s="192"/>
      <c r="U318" s="192"/>
      <c r="V318" s="192"/>
      <c r="W318" s="192"/>
      <c r="X318" s="192"/>
      <c r="Y318" s="192"/>
      <c r="Z318" s="192"/>
      <c r="AA318" s="192"/>
      <c r="AB318" s="192"/>
      <c r="AC318" s="192"/>
      <c r="AD318" s="192"/>
      <c r="AE318" s="192"/>
      <c r="AF318" s="192"/>
      <c r="AG318" s="192"/>
      <c r="AH318" s="192"/>
      <c r="AI318" s="192"/>
      <c r="AJ318" s="192"/>
      <c r="AK318" s="192"/>
      <c r="AL318" s="223">
        <f>AL315*AL317</f>
        <v>45.664277512176213</v>
      </c>
      <c r="AM318" s="200">
        <f t="shared" ref="AM318" si="4578">AM315*AM317</f>
        <v>43.411168908215807</v>
      </c>
      <c r="AN318" s="200">
        <f t="shared" ref="AN318" si="4579">AN315*AN317</f>
        <v>41.128523455253095</v>
      </c>
      <c r="AO318" s="200">
        <f t="shared" ref="AO318" si="4580">AO315*AO317</f>
        <v>38.815912875010113</v>
      </c>
      <c r="AP318" s="200">
        <f t="shared" ref="AP318" si="4581">AP315*AP317</f>
        <v>21.883741634626237</v>
      </c>
      <c r="AQ318" s="200">
        <f t="shared" ref="AQ318" si="4582">AQ315*AQ317</f>
        <v>20.459431383976874</v>
      </c>
      <c r="AR318" s="200">
        <f t="shared" ref="AR318" si="4583">AR315*AR317</f>
        <v>19.016348748815219</v>
      </c>
      <c r="AS318" s="200">
        <f t="shared" ref="AS318" si="4584">AS315*AS317</f>
        <v>17.554221643875316</v>
      </c>
      <c r="AT318" s="200">
        <f t="shared" ref="AT318" si="4585">AT315*AT317</f>
        <v>16.07277406726276</v>
      </c>
      <c r="AU318" s="200">
        <f t="shared" ref="AU318" si="4586">AU315*AU317</f>
        <v>14.571726044048571</v>
      </c>
      <c r="AV318" s="200">
        <f t="shared" ref="AV318" si="4587">AV315*AV317</f>
        <v>13.050793569050819</v>
      </c>
      <c r="AW318" s="200">
        <f t="shared" ref="AW318" si="4588">AW315*AW317</f>
        <v>11.509688548792198</v>
      </c>
      <c r="AX318" s="200">
        <f t="shared" ref="AX318" si="4589">AX315*AX317</f>
        <v>9.9481187426217197</v>
      </c>
      <c r="AY318" s="200">
        <f t="shared" ref="AY318" si="4590">AY315*AY317</f>
        <v>8.3657877029885128</v>
      </c>
      <c r="AZ318" s="200">
        <f t="shared" ref="AZ318" si="4591">AZ315*AZ317</f>
        <v>6.7623947148554633</v>
      </c>
      <c r="BA318" s="200">
        <f t="shared" ref="BA318" si="4592">BA315*BA317</f>
        <v>5.1376347342403541</v>
      </c>
      <c r="BB318" s="200">
        <f t="shared" ref="BB318" si="4593">BB315*BB317</f>
        <v>3.4911983258719146</v>
      </c>
      <c r="BC318" s="200">
        <f t="shared" ref="BC318" si="4594">BC315*BC317</f>
        <v>1.8227715999480429</v>
      </c>
      <c r="BD318" s="200">
        <f t="shared" ref="BD318" si="4595">BD315*BD317</f>
        <v>0.13203614798327484</v>
      </c>
      <c r="BE318" s="200">
        <f t="shared" ref="BE318" si="4596">BE315*BE317</f>
        <v>0</v>
      </c>
      <c r="BF318" s="200">
        <f t="shared" ref="BF318" si="4597">BF315*BF317</f>
        <v>0</v>
      </c>
      <c r="BG318" s="200">
        <f t="shared" ref="BG318" si="4598">BG315*BG317</f>
        <v>0</v>
      </c>
      <c r="BH318" s="200">
        <f t="shared" ref="BH318" si="4599">BH315*BH317</f>
        <v>0</v>
      </c>
      <c r="BI318" s="200">
        <f t="shared" ref="BI318" si="4600">BI315*BI317</f>
        <v>0</v>
      </c>
      <c r="BJ318" s="200">
        <f t="shared" ref="BJ318" si="4601">BJ315*BJ317</f>
        <v>0</v>
      </c>
      <c r="BK318" s="200">
        <f t="shared" ref="BK318" si="4602">BK315*BK317</f>
        <v>0</v>
      </c>
    </row>
    <row r="319" spans="1:63" ht="7.8" x14ac:dyDescent="0.15">
      <c r="A319" s="206" t="s">
        <v>97</v>
      </c>
      <c r="B319" s="192"/>
      <c r="C319" s="192"/>
      <c r="D319" s="192"/>
      <c r="E319" s="192"/>
      <c r="F319" s="192"/>
      <c r="G319" s="192"/>
      <c r="H319" s="192"/>
      <c r="I319" s="192"/>
      <c r="J319" s="192"/>
      <c r="K319" s="192"/>
      <c r="L319" s="192"/>
      <c r="M319" s="192"/>
      <c r="N319" s="192"/>
      <c r="O319" s="192"/>
      <c r="P319" s="192"/>
      <c r="Q319" s="192"/>
      <c r="R319" s="192"/>
      <c r="S319" s="192"/>
      <c r="T319" s="192"/>
      <c r="U319" s="192"/>
      <c r="V319" s="192"/>
      <c r="W319" s="192"/>
      <c r="X319" s="192"/>
      <c r="Y319" s="192"/>
      <c r="Z319" s="192"/>
      <c r="AA319" s="192"/>
      <c r="AB319" s="192"/>
      <c r="AC319" s="192"/>
      <c r="AD319" s="192"/>
      <c r="AE319" s="192"/>
      <c r="AF319" s="192"/>
      <c r="AG319" s="192"/>
      <c r="AH319" s="192"/>
      <c r="AI319" s="192"/>
      <c r="AJ319" s="192"/>
      <c r="AK319" s="192"/>
      <c r="AL319" s="223">
        <f>AL316*AL317</f>
        <v>143.3289068386155</v>
      </c>
      <c r="AM319" s="200">
        <f>AM316*AM317</f>
        <v>145.39302225822513</v>
      </c>
      <c r="AN319" s="200">
        <f t="shared" ref="AN319:BK319" si="4603">AN316*AN317</f>
        <v>147.48686352002142</v>
      </c>
      <c r="AO319" s="200">
        <f t="shared" si="4603"/>
        <v>149.6108587132891</v>
      </c>
      <c r="AP319" s="200">
        <f t="shared" si="4603"/>
        <v>91.059265255400319</v>
      </c>
      <c r="AQ319" s="200">
        <f t="shared" si="4603"/>
        <v>92.370632499159655</v>
      </c>
      <c r="AR319" s="200">
        <f t="shared" si="4603"/>
        <v>93.700885070438162</v>
      </c>
      <c r="AS319" s="200">
        <f t="shared" si="4603"/>
        <v>95.050294941558818</v>
      </c>
      <c r="AT319" s="200">
        <f t="shared" si="4603"/>
        <v>96.419138001585935</v>
      </c>
      <c r="AU319" s="200">
        <f t="shared" si="4603"/>
        <v>97.807694112731269</v>
      </c>
      <c r="AV319" s="200">
        <f t="shared" si="4603"/>
        <v>99.216247167572249</v>
      </c>
      <c r="AW319" s="200">
        <f t="shared" si="4603"/>
        <v>100.64508514709426</v>
      </c>
      <c r="AX319" s="200">
        <f t="shared" si="4603"/>
        <v>102.09450017956885</v>
      </c>
      <c r="AY319" s="200">
        <f t="shared" si="4603"/>
        <v>103.56478860027987</v>
      </c>
      <c r="AZ319" s="200">
        <f t="shared" si="4603"/>
        <v>105.05625101210966</v>
      </c>
      <c r="BA319" s="200">
        <f t="shared" si="4603"/>
        <v>106.5691923469978</v>
      </c>
      <c r="BB319" s="200">
        <f t="shared" si="4603"/>
        <v>108.103921928285</v>
      </c>
      <c r="BC319" s="200">
        <f t="shared" si="4603"/>
        <v>109.66075353395472</v>
      </c>
      <c r="BD319" s="200">
        <f t="shared" si="4603"/>
        <v>111.24000546078557</v>
      </c>
      <c r="BE319" s="200">
        <f t="shared" si="4603"/>
        <v>0</v>
      </c>
      <c r="BF319" s="200">
        <f t="shared" si="4603"/>
        <v>0</v>
      </c>
      <c r="BG319" s="200">
        <f t="shared" si="4603"/>
        <v>0</v>
      </c>
      <c r="BH319" s="200">
        <f t="shared" si="4603"/>
        <v>0</v>
      </c>
      <c r="BI319" s="200">
        <f t="shared" si="4603"/>
        <v>0</v>
      </c>
      <c r="BJ319" s="200">
        <f t="shared" si="4603"/>
        <v>0</v>
      </c>
      <c r="BK319" s="200">
        <f t="shared" si="4603"/>
        <v>0</v>
      </c>
    </row>
    <row r="320" spans="1:63" ht="7.8" x14ac:dyDescent="0.15">
      <c r="A320" s="208" t="s">
        <v>203</v>
      </c>
      <c r="B320" s="192"/>
      <c r="C320" s="192"/>
      <c r="D320" s="192"/>
      <c r="E320" s="192"/>
      <c r="F320" s="192"/>
      <c r="G320" s="192"/>
      <c r="H320" s="192"/>
      <c r="I320" s="192"/>
      <c r="J320" s="192"/>
      <c r="K320" s="192"/>
      <c r="L320" s="192"/>
      <c r="M320" s="192"/>
      <c r="N320" s="192"/>
      <c r="O320" s="192"/>
      <c r="P320" s="192"/>
      <c r="Q320" s="192"/>
      <c r="R320" s="192"/>
      <c r="S320" s="192"/>
      <c r="T320" s="192"/>
      <c r="U320" s="192"/>
      <c r="V320" s="192"/>
      <c r="W320" s="192"/>
      <c r="X320" s="192"/>
      <c r="Y320" s="192"/>
      <c r="Z320" s="192"/>
      <c r="AA320" s="192"/>
      <c r="AB320" s="192"/>
      <c r="AC320" s="192"/>
      <c r="AD320" s="192"/>
      <c r="AE320" s="192"/>
      <c r="AF320" s="192"/>
      <c r="AG320" s="192"/>
      <c r="AH320" s="192"/>
      <c r="AI320" s="192"/>
      <c r="AJ320" s="192"/>
      <c r="AK320" s="192"/>
      <c r="AL320" s="224">
        <f>IF(AL312-101&lt;&gt;LoanSaleHeld,0,SUM($D319:AL319)*LoanSalePercent)</f>
        <v>0</v>
      </c>
      <c r="AM320" s="225">
        <f>IF(AM312-101&lt;&gt;LoanSaleHeld,0,SUM($D319:AM319)*LoanSalePercent)</f>
        <v>0</v>
      </c>
      <c r="AN320" s="225">
        <f>IF(AN312-101&lt;&gt;LoanSaleHeld,0,SUM($D319:AN319)*LoanSalePercent)</f>
        <v>0</v>
      </c>
      <c r="AO320" s="225">
        <f>IF(AO312-101&lt;&gt;LoanSaleHeld,0,SUM($D319:AO319)*LoanSalePercent)</f>
        <v>234.32786053206047</v>
      </c>
      <c r="AP320" s="225">
        <f>IF(AP312-101&lt;&gt;LoanSaleHeld,0,SUM($D319:AP319)*LoanSalePercent)</f>
        <v>0</v>
      </c>
      <c r="AQ320" s="225">
        <f>IF(AQ312-101&lt;&gt;LoanSaleHeld,0,SUM($D319:AQ319)*LoanSalePercent)</f>
        <v>0</v>
      </c>
      <c r="AR320" s="225">
        <f>IF(AR312-101&lt;&gt;LoanSaleHeld,0,SUM($D319:AR319)*LoanSalePercent)</f>
        <v>0</v>
      </c>
      <c r="AS320" s="225">
        <f>IF(AS312-101&lt;&gt;LoanSaleHeld,0,SUM($D319:AS319)*LoanSalePercent)</f>
        <v>0</v>
      </c>
      <c r="AT320" s="225">
        <f>IF(AT312-101&lt;&gt;LoanSaleHeld,0,SUM($D319:AT319)*LoanSalePercent)</f>
        <v>0</v>
      </c>
      <c r="AU320" s="225">
        <f>IF(AU312-101&lt;&gt;LoanSaleHeld,0,SUM($D319:AU319)*LoanSalePercent)</f>
        <v>0</v>
      </c>
      <c r="AV320" s="225">
        <f>IF(AV312-101&lt;&gt;LoanSaleHeld,0,SUM($D319:AV319)*LoanSalePercent)</f>
        <v>0</v>
      </c>
      <c r="AW320" s="225">
        <f>IF(AW312-101&lt;&gt;LoanSaleHeld,0,SUM($D319:AW319)*LoanSalePercent)</f>
        <v>0</v>
      </c>
      <c r="AX320" s="225">
        <f>IF(AX312-101&lt;&gt;LoanSaleHeld,0,SUM($D319:AX319)*LoanSalePercent)</f>
        <v>0</v>
      </c>
      <c r="AY320" s="225">
        <f>IF(AY312-101&lt;&gt;LoanSaleHeld,0,SUM($D319:AY319)*LoanSalePercent)</f>
        <v>0</v>
      </c>
      <c r="AZ320" s="225">
        <f>IF(AZ312-101&lt;&gt;LoanSaleHeld,0,SUM($D319:AZ319)*LoanSalePercent)</f>
        <v>0</v>
      </c>
      <c r="BA320" s="225">
        <f>IF(BA312-101&lt;&gt;LoanSaleHeld,0,SUM($D319:BA319)*LoanSalePercent)</f>
        <v>0</v>
      </c>
      <c r="BB320" s="225">
        <f>IF(BB312-101&lt;&gt;LoanSaleHeld,0,SUM($D319:BB319)*LoanSalePercent)</f>
        <v>0</v>
      </c>
      <c r="BC320" s="225">
        <f>IF(BC312-101&lt;&gt;LoanSaleHeld,0,SUM($D319:BC319)*LoanSalePercent)</f>
        <v>0</v>
      </c>
      <c r="BD320" s="225">
        <f>IF(BD312-101&lt;&gt;LoanSaleHeld,0,SUM($D319:BD319)*LoanSalePercent)</f>
        <v>0</v>
      </c>
      <c r="BE320" s="225">
        <f>IF(BE312-101&lt;&gt;LoanSaleHeld,0,SUM($D319:BE319)*LoanSalePercent)</f>
        <v>0</v>
      </c>
      <c r="BF320" s="225">
        <f>IF(BF312-101&lt;&gt;LoanSaleHeld,0,SUM($D319:BF319)*LoanSalePercent)</f>
        <v>0</v>
      </c>
      <c r="BG320" s="225">
        <f>IF(BG312-101&lt;&gt;LoanSaleHeld,0,SUM($D319:BG319)*LoanSalePercent)</f>
        <v>0</v>
      </c>
      <c r="BH320" s="225">
        <f>IF(BH312-101&lt;&gt;LoanSaleHeld,0,SUM($D319:BH319)*LoanSalePercent)</f>
        <v>0</v>
      </c>
      <c r="BI320" s="225">
        <f>IF(BI312-101&lt;&gt;LoanSaleHeld,0,SUM($D319:BI319)*LoanSalePercent)</f>
        <v>0</v>
      </c>
      <c r="BJ320" s="225">
        <f>IF(BJ312-101&lt;&gt;LoanSaleHeld,0,SUM($D319:BJ319)*LoanSalePercent)</f>
        <v>0</v>
      </c>
      <c r="BK320" s="225">
        <f>IF(BK312-101&lt;&gt;LoanSaleHeld,0,SUM($D319:BK319)*LoanSalePercent)</f>
        <v>0</v>
      </c>
    </row>
    <row r="321" spans="1:63" ht="7.8" x14ac:dyDescent="0.15">
      <c r="A321" s="204">
        <f t="shared" ref="A321" si="4604">A312+1</f>
        <v>36</v>
      </c>
      <c r="B321" s="192"/>
      <c r="C321" s="192"/>
      <c r="D321" s="192"/>
      <c r="E321" s="192"/>
      <c r="F321" s="192"/>
      <c r="G321" s="192"/>
      <c r="H321" s="192"/>
      <c r="I321" s="192"/>
      <c r="J321" s="192"/>
      <c r="K321" s="192"/>
      <c r="L321" s="192"/>
      <c r="M321" s="192"/>
      <c r="N321" s="192"/>
      <c r="O321" s="192"/>
      <c r="P321" s="192"/>
      <c r="Q321" s="192"/>
      <c r="R321" s="192"/>
      <c r="S321" s="192"/>
      <c r="T321" s="192"/>
      <c r="U321" s="192"/>
      <c r="V321" s="192"/>
      <c r="W321" s="192"/>
      <c r="X321" s="192"/>
      <c r="Y321" s="192"/>
      <c r="Z321" s="192"/>
      <c r="AA321" s="192"/>
      <c r="AB321" s="192"/>
      <c r="AC321" s="192"/>
      <c r="AD321" s="192"/>
      <c r="AE321" s="192"/>
      <c r="AF321" s="192"/>
      <c r="AG321" s="192"/>
      <c r="AH321" s="192"/>
      <c r="AI321" s="192"/>
      <c r="AJ321" s="192"/>
      <c r="AK321" s="192"/>
      <c r="AL321" s="192"/>
      <c r="AM321" s="195">
        <v>101</v>
      </c>
      <c r="AN321" s="196">
        <f t="shared" ref="AN321" si="4605">IF(AN322=0,0,AM321+1)</f>
        <v>102</v>
      </c>
      <c r="AO321" s="196">
        <f t="shared" ref="AO321" si="4606">IF(AO322=0,0,AN321+1)</f>
        <v>103</v>
      </c>
      <c r="AP321" s="196">
        <f t="shared" ref="AP321" si="4607">IF(AP322=0,0,AO321+1)</f>
        <v>104</v>
      </c>
      <c r="AQ321" s="196">
        <f t="shared" ref="AQ321" si="4608">IF(AQ322=0,0,AP321+1)</f>
        <v>105</v>
      </c>
      <c r="AR321" s="196">
        <f t="shared" ref="AR321" si="4609">IF(AR322=0,0,AQ321+1)</f>
        <v>106</v>
      </c>
      <c r="AS321" s="196">
        <f t="shared" ref="AS321" si="4610">IF(AS322=0,0,AR321+1)</f>
        <v>107</v>
      </c>
      <c r="AT321" s="196">
        <f t="shared" ref="AT321" si="4611">IF(AT322=0,0,AS321+1)</f>
        <v>108</v>
      </c>
      <c r="AU321" s="196">
        <f t="shared" ref="AU321" si="4612">IF(AU322=0,0,AT321+1)</f>
        <v>109</v>
      </c>
      <c r="AV321" s="196">
        <f t="shared" ref="AV321" si="4613">IF(AV322=0,0,AU321+1)</f>
        <v>110</v>
      </c>
      <c r="AW321" s="196">
        <f t="shared" ref="AW321" si="4614">IF(AW322=0,0,AV321+1)</f>
        <v>111</v>
      </c>
      <c r="AX321" s="196">
        <f t="shared" ref="AX321" si="4615">IF(AX322=0,0,AW321+1)</f>
        <v>112</v>
      </c>
      <c r="AY321" s="196">
        <f t="shared" ref="AY321" si="4616">IF(AY322=0,0,AX321+1)</f>
        <v>113</v>
      </c>
      <c r="AZ321" s="196">
        <f t="shared" ref="AZ321" si="4617">IF(AZ322=0,0,AY321+1)</f>
        <v>114</v>
      </c>
      <c r="BA321" s="196">
        <f t="shared" ref="BA321" si="4618">IF(BA322=0,0,AZ321+1)</f>
        <v>115</v>
      </c>
      <c r="BB321" s="196">
        <f t="shared" ref="BB321" si="4619">IF(BB322=0,0,BA321+1)</f>
        <v>116</v>
      </c>
      <c r="BC321" s="196">
        <f t="shared" ref="BC321" si="4620">IF(BC322=0,0,BB321+1)</f>
        <v>117</v>
      </c>
      <c r="BD321" s="196">
        <f t="shared" ref="BD321" si="4621">IF(BD322=0,0,BC321+1)</f>
        <v>118</v>
      </c>
      <c r="BE321" s="196">
        <f t="shared" ref="BE321" si="4622">IF(BE322=0,0,BD321+1)</f>
        <v>119</v>
      </c>
      <c r="BF321" s="196">
        <f t="shared" ref="BF321" si="4623">IF(BF322=0,0,BE321+1)</f>
        <v>0</v>
      </c>
      <c r="BG321" s="196">
        <f t="shared" ref="BG321" si="4624">IF(BG322=0,0,BF321+1)</f>
        <v>0</v>
      </c>
      <c r="BH321" s="196">
        <f t="shared" ref="BH321" si="4625">IF(BH322=0,0,BG321+1)</f>
        <v>0</v>
      </c>
      <c r="BI321" s="196">
        <f t="shared" ref="BI321" si="4626">IF(BI322=0,0,BH321+1)</f>
        <v>0</v>
      </c>
      <c r="BJ321" s="196">
        <f t="shared" ref="BJ321" si="4627">IF(BJ322=0,0,BI321+1)</f>
        <v>0</v>
      </c>
      <c r="BK321" s="196">
        <f t="shared" ref="BK321" si="4628">IF(BK322=0,0,BJ321+1)</f>
        <v>0</v>
      </c>
    </row>
    <row r="322" spans="1:63" ht="7.8" x14ac:dyDescent="0.15">
      <c r="A322" s="216" t="s">
        <v>178</v>
      </c>
      <c r="B322" s="192"/>
      <c r="C322" s="192"/>
      <c r="D322" s="192"/>
      <c r="E322" s="192"/>
      <c r="F322" s="192"/>
      <c r="G322" s="192"/>
      <c r="H322" s="192"/>
      <c r="I322" s="192"/>
      <c r="J322" s="192"/>
      <c r="K322" s="192"/>
      <c r="L322" s="192"/>
      <c r="M322" s="192"/>
      <c r="N322" s="192"/>
      <c r="O322" s="192"/>
      <c r="P322" s="192"/>
      <c r="Q322" s="192"/>
      <c r="R322" s="192"/>
      <c r="S322" s="192"/>
      <c r="T322" s="192"/>
      <c r="U322" s="192"/>
      <c r="V322" s="192"/>
      <c r="W322" s="192"/>
      <c r="X322" s="192"/>
      <c r="Y322" s="192"/>
      <c r="Z322" s="192"/>
      <c r="AA322" s="192"/>
      <c r="AB322" s="192"/>
      <c r="AC322" s="192"/>
      <c r="AD322" s="192"/>
      <c r="AE322" s="192"/>
      <c r="AF322" s="192"/>
      <c r="AG322" s="192"/>
      <c r="AH322" s="192"/>
      <c r="AI322" s="192"/>
      <c r="AJ322" s="192"/>
      <c r="AK322" s="192"/>
      <c r="AL322" s="192"/>
      <c r="AM322" s="217">
        <f>LoanSize</f>
        <v>25</v>
      </c>
      <c r="AN322" s="215">
        <f>IF(AM322-AM325&lt;=0.1,0,AM322-AM325)</f>
        <v>23.79027212253634</v>
      </c>
      <c r="AO322" s="215">
        <f t="shared" ref="AO322:BK322" si="4629">IF(AN322-AN325&lt;=0.1,0,AN322-AN325)</f>
        <v>22.56189427362845</v>
      </c>
      <c r="AP322" s="215">
        <f t="shared" si="4629"/>
        <v>21.314578932883229</v>
      </c>
      <c r="AQ322" s="215">
        <f t="shared" si="4629"/>
        <v>20.048034147301522</v>
      </c>
      <c r="AR322" s="215">
        <f t="shared" si="4629"/>
        <v>18.761963462942095</v>
      </c>
      <c r="AS322" s="215">
        <f t="shared" si="4629"/>
        <v>17.456065855532128</v>
      </c>
      <c r="AT322" s="215">
        <f t="shared" si="4629"/>
        <v>16.130035660007923</v>
      </c>
      <c r="AU322" s="215">
        <f t="shared" si="4629"/>
        <v>14.783562498969387</v>
      </c>
      <c r="AV322" s="215">
        <f t="shared" si="4629"/>
        <v>13.416331210031506</v>
      </c>
      <c r="AW322" s="215">
        <f t="shared" si="4629"/>
        <v>12.028021772055833</v>
      </c>
      <c r="AX322" s="215">
        <f t="shared" si="4629"/>
        <v>10.618309230244702</v>
      </c>
      <c r="AY322" s="215">
        <f t="shared" si="4629"/>
        <v>9.1868636200806488</v>
      </c>
      <c r="AZ322" s="215">
        <f t="shared" si="4629"/>
        <v>7.7333498900932334</v>
      </c>
      <c r="BA322" s="215">
        <f t="shared" si="4629"/>
        <v>6.2574278234351794</v>
      </c>
      <c r="BB322" s="215">
        <f t="shared" si="4629"/>
        <v>4.7587519582494799</v>
      </c>
      <c r="BC322" s="215">
        <f t="shared" si="4629"/>
        <v>3.2369715068088345</v>
      </c>
      <c r="BD322" s="215">
        <f t="shared" si="4629"/>
        <v>1.6917302734084789</v>
      </c>
      <c r="BE322" s="215">
        <f t="shared" si="4629"/>
        <v>0.12266657099320111</v>
      </c>
      <c r="BF322" s="215">
        <f t="shared" si="4629"/>
        <v>0</v>
      </c>
      <c r="BG322" s="215">
        <f t="shared" si="4629"/>
        <v>0</v>
      </c>
      <c r="BH322" s="215">
        <f t="shared" si="4629"/>
        <v>0</v>
      </c>
      <c r="BI322" s="215">
        <f t="shared" si="4629"/>
        <v>0</v>
      </c>
      <c r="BJ322" s="215">
        <f t="shared" si="4629"/>
        <v>0</v>
      </c>
      <c r="BK322" s="215">
        <f t="shared" si="4629"/>
        <v>0</v>
      </c>
    </row>
    <row r="323" spans="1:63" ht="7.8" x14ac:dyDescent="0.15">
      <c r="A323" s="218" t="s">
        <v>179</v>
      </c>
      <c r="B323" s="192"/>
      <c r="C323" s="192"/>
      <c r="D323" s="192"/>
      <c r="E323" s="192"/>
      <c r="F323" s="192"/>
      <c r="G323" s="192"/>
      <c r="H323" s="192"/>
      <c r="I323" s="192"/>
      <c r="J323" s="192"/>
      <c r="K323" s="192"/>
      <c r="L323" s="192"/>
      <c r="M323" s="192"/>
      <c r="N323" s="192"/>
      <c r="O323" s="192"/>
      <c r="P323" s="192"/>
      <c r="Q323" s="192"/>
      <c r="R323" s="192"/>
      <c r="S323" s="192"/>
      <c r="T323" s="192"/>
      <c r="U323" s="192"/>
      <c r="V323" s="192"/>
      <c r="W323" s="192"/>
      <c r="X323" s="192"/>
      <c r="Y323" s="192"/>
      <c r="Z323" s="192"/>
      <c r="AA323" s="192"/>
      <c r="AB323" s="192"/>
      <c r="AC323" s="192"/>
      <c r="AD323" s="192"/>
      <c r="AE323" s="192"/>
      <c r="AF323" s="192"/>
      <c r="AG323" s="192"/>
      <c r="AH323" s="192"/>
      <c r="AI323" s="192"/>
      <c r="AJ323" s="192"/>
      <c r="AK323" s="192"/>
      <c r="AL323" s="192"/>
      <c r="AM323" s="219">
        <f>IF(AM322=0,0,PMT(INDEX(LoanCohortRate,1),LoanTerm, -LoanSize))</f>
        <v>1.5951445441303251</v>
      </c>
      <c r="AN323" s="222">
        <f t="shared" ref="AN323" si="4630">IF(AN322=0,0, AM323)</f>
        <v>1.5951445441303251</v>
      </c>
      <c r="AO323" s="222">
        <f t="shared" ref="AO323" si="4631">IF(AO322=0,0, AN323)</f>
        <v>1.5951445441303251</v>
      </c>
      <c r="AP323" s="222">
        <f t="shared" ref="AP323" si="4632">IF(AP322=0,0, AO323)</f>
        <v>1.5951445441303251</v>
      </c>
      <c r="AQ323" s="222">
        <f t="shared" ref="AQ323" si="4633">IF(AQ322=0,0, AP323)</f>
        <v>1.5951445441303251</v>
      </c>
      <c r="AR323" s="222">
        <f t="shared" ref="AR323" si="4634">IF(AR322=0,0, AQ323)</f>
        <v>1.5951445441303251</v>
      </c>
      <c r="AS323" s="222">
        <f t="shared" ref="AS323" si="4635">IF(AS322=0,0, AR323)</f>
        <v>1.5951445441303251</v>
      </c>
      <c r="AT323" s="222">
        <f t="shared" ref="AT323" si="4636">IF(AT322=0,0, AS323)</f>
        <v>1.5951445441303251</v>
      </c>
      <c r="AU323" s="222">
        <f t="shared" ref="AU323" si="4637">IF(AU322=0,0, AT323)</f>
        <v>1.5951445441303251</v>
      </c>
      <c r="AV323" s="222">
        <f t="shared" ref="AV323" si="4638">IF(AV322=0,0, AU323)</f>
        <v>1.5951445441303251</v>
      </c>
      <c r="AW323" s="222">
        <f t="shared" ref="AW323" si="4639">IF(AW322=0,0, AV323)</f>
        <v>1.5951445441303251</v>
      </c>
      <c r="AX323" s="222">
        <f t="shared" ref="AX323" si="4640">IF(AX322=0,0, AW323)</f>
        <v>1.5951445441303251</v>
      </c>
      <c r="AY323" s="222">
        <f t="shared" ref="AY323" si="4641">IF(AY322=0,0, AX323)</f>
        <v>1.5951445441303251</v>
      </c>
      <c r="AZ323" s="222">
        <f t="shared" ref="AZ323" si="4642">IF(AZ322=0,0, AY323)</f>
        <v>1.5951445441303251</v>
      </c>
      <c r="BA323" s="222">
        <f t="shared" ref="BA323" si="4643">IF(BA322=0,0, AZ323)</f>
        <v>1.5951445441303251</v>
      </c>
      <c r="BB323" s="222">
        <f t="shared" ref="BB323" si="4644">IF(BB322=0,0, BA323)</f>
        <v>1.5951445441303251</v>
      </c>
      <c r="BC323" s="222">
        <f t="shared" ref="BC323" si="4645">IF(BC322=0,0, BB323)</f>
        <v>1.5951445441303251</v>
      </c>
      <c r="BD323" s="222">
        <f t="shared" ref="BD323" si="4646">IF(BD322=0,0, BC323)</f>
        <v>1.5951445441303251</v>
      </c>
      <c r="BE323" s="222">
        <f t="shared" ref="BE323" si="4647">IF(BE322=0,0, BD323)</f>
        <v>1.5951445441303251</v>
      </c>
      <c r="BF323" s="222">
        <f t="shared" ref="BF323" si="4648">IF(BF322=0,0, BE323)</f>
        <v>0</v>
      </c>
      <c r="BG323" s="222">
        <f t="shared" ref="BG323" si="4649">IF(BG322=0,0, BF323)</f>
        <v>0</v>
      </c>
      <c r="BH323" s="222">
        <f t="shared" ref="BH323" si="4650">IF(BH322=0,0, BG323)</f>
        <v>0</v>
      </c>
      <c r="BI323" s="222">
        <f t="shared" ref="BI323" si="4651">IF(BI322=0,0, BH323)</f>
        <v>0</v>
      </c>
      <c r="BJ323" s="222">
        <f t="shared" ref="BJ323" si="4652">IF(BJ322=0,0, BI323)</f>
        <v>0</v>
      </c>
      <c r="BK323" s="222">
        <f t="shared" ref="BK323" si="4653">IF(BK322=0,0, BJ323)</f>
        <v>0</v>
      </c>
    </row>
    <row r="324" spans="1:63" ht="7.8" x14ac:dyDescent="0.15">
      <c r="A324" s="218" t="s">
        <v>180</v>
      </c>
      <c r="B324" s="192"/>
      <c r="C324" s="192"/>
      <c r="D324" s="192"/>
      <c r="E324" s="192"/>
      <c r="F324" s="192"/>
      <c r="G324" s="192"/>
      <c r="H324" s="192"/>
      <c r="I324" s="192"/>
      <c r="J324" s="192"/>
      <c r="K324" s="192"/>
      <c r="L324" s="192"/>
      <c r="M324" s="192"/>
      <c r="N324" s="192"/>
      <c r="O324" s="192"/>
      <c r="P324" s="192"/>
      <c r="Q324" s="192"/>
      <c r="R324" s="192"/>
      <c r="S324" s="192"/>
      <c r="T324" s="192"/>
      <c r="U324" s="192"/>
      <c r="V324" s="192"/>
      <c r="W324" s="192"/>
      <c r="X324" s="192"/>
      <c r="Y324" s="192"/>
      <c r="Z324" s="192"/>
      <c r="AA324" s="192"/>
      <c r="AB324" s="192"/>
      <c r="AC324" s="192"/>
      <c r="AD324" s="192"/>
      <c r="AE324" s="192"/>
      <c r="AF324" s="192"/>
      <c r="AG324" s="192"/>
      <c r="AH324" s="192"/>
      <c r="AI324" s="192"/>
      <c r="AJ324" s="192"/>
      <c r="AK324" s="192"/>
      <c r="AL324" s="192"/>
      <c r="AM324" s="220" cm="1">
        <f t="array" ref="AM324">AM322*INDEX(LoanCohortRate,$A321)</f>
        <v>0.38541666666666669</v>
      </c>
      <c r="AN324" s="221" cm="1">
        <f t="array" ref="AN324">AN322*INDEX(LoanCohortRate,$A321)</f>
        <v>0.36676669522243527</v>
      </c>
      <c r="AO324" s="221" cm="1">
        <f t="array" ref="AO324">AO322*INDEX(LoanCohortRate,$A321)</f>
        <v>0.34782920338510526</v>
      </c>
      <c r="AP324" s="221" cm="1">
        <f t="array" ref="AP324">AP322*INDEX(LoanCohortRate,$A321)</f>
        <v>0.32859975854861645</v>
      </c>
      <c r="AQ324" s="221" cm="1">
        <f t="array" ref="AQ324">AQ322*INDEX(LoanCohortRate,$A321)</f>
        <v>0.30907385977089846</v>
      </c>
      <c r="AR324" s="221" cm="1">
        <f t="array" ref="AR324">AR322*INDEX(LoanCohortRate,$A321)</f>
        <v>0.28924693672035728</v>
      </c>
      <c r="AS324" s="221" cm="1">
        <f t="array" ref="AS324">AS322*INDEX(LoanCohortRate,$A321)</f>
        <v>0.26911434860612032</v>
      </c>
      <c r="AT324" s="221" cm="1">
        <f t="array" ref="AT324">AT322*INDEX(LoanCohortRate,$A321)</f>
        <v>0.24867138309178882</v>
      </c>
      <c r="AU324" s="221" cm="1">
        <f t="array" ref="AU324">AU322*INDEX(LoanCohortRate,$A321)</f>
        <v>0.22791325519244471</v>
      </c>
      <c r="AV324" s="221" cm="1">
        <f t="array" ref="AV324">AV322*INDEX(LoanCohortRate,$A321)</f>
        <v>0.20683510615465239</v>
      </c>
      <c r="AW324" s="221" cm="1">
        <f t="array" ref="AW324">AW322*INDEX(LoanCohortRate,$A321)</f>
        <v>0.1854320023191941</v>
      </c>
      <c r="AX324" s="221" cm="1">
        <f t="array" ref="AX324">AX322*INDEX(LoanCohortRate,$A321)</f>
        <v>0.1636989339662725</v>
      </c>
      <c r="AY324" s="221" cm="1">
        <f t="array" ref="AY324">AY322*INDEX(LoanCohortRate,$A321)</f>
        <v>0.14163081414291001</v>
      </c>
      <c r="AZ324" s="221" cm="1">
        <f t="array" ref="AZ324">AZ322*INDEX(LoanCohortRate,$A321)</f>
        <v>0.11922247747227069</v>
      </c>
      <c r="BA324" s="221" cm="1">
        <f t="array" ref="BA324">BA322*INDEX(LoanCohortRate,$A321)</f>
        <v>9.6468678944625685E-2</v>
      </c>
      <c r="BB324" s="221" cm="1">
        <f t="array" ref="BB324">BB322*INDEX(LoanCohortRate,$A321)</f>
        <v>7.3364092689679486E-2</v>
      </c>
      <c r="BC324" s="221" cm="1">
        <f t="array" ref="BC324">BC322*INDEX(LoanCohortRate,$A321)</f>
        <v>4.9903310729969536E-2</v>
      </c>
      <c r="BD324" s="221" cm="1">
        <f t="array" ref="BD324">BD322*INDEX(LoanCohortRate,$A321)</f>
        <v>2.6080841715047383E-2</v>
      </c>
      <c r="BE324" s="221" cm="1">
        <f t="array" ref="BE324">BE322*INDEX(LoanCohortRate,$A321)</f>
        <v>1.8911096361451838E-3</v>
      </c>
      <c r="BF324" s="221" cm="1">
        <f t="array" ref="BF324">BF322*INDEX(LoanCohortRate,$A321)</f>
        <v>0</v>
      </c>
      <c r="BG324" s="221" cm="1">
        <f t="array" ref="BG324">BG322*INDEX(LoanCohortRate,$A321)</f>
        <v>0</v>
      </c>
      <c r="BH324" s="221" cm="1">
        <f t="array" ref="BH324">BH322*INDEX(LoanCohortRate,$A321)</f>
        <v>0</v>
      </c>
      <c r="BI324" s="221" cm="1">
        <f t="array" ref="BI324">BI322*INDEX(LoanCohortRate,$A321)</f>
        <v>0</v>
      </c>
      <c r="BJ324" s="221" cm="1">
        <f t="array" ref="BJ324">BJ322*INDEX(LoanCohortRate,$A321)</f>
        <v>0</v>
      </c>
      <c r="BK324" s="221" cm="1">
        <f t="array" ref="BK324">BK322*INDEX(LoanCohortRate,$A321)</f>
        <v>0</v>
      </c>
    </row>
    <row r="325" spans="1:63" ht="7.8" x14ac:dyDescent="0.15">
      <c r="A325" s="218" t="s">
        <v>177</v>
      </c>
      <c r="B325" s="192"/>
      <c r="C325" s="192"/>
      <c r="D325" s="192"/>
      <c r="E325" s="192"/>
      <c r="F325" s="192"/>
      <c r="G325" s="192"/>
      <c r="H325" s="192"/>
      <c r="I325" s="192"/>
      <c r="J325" s="192"/>
      <c r="K325" s="192"/>
      <c r="L325" s="192"/>
      <c r="M325" s="192"/>
      <c r="N325" s="192"/>
      <c r="O325" s="192"/>
      <c r="P325" s="192"/>
      <c r="Q325" s="192"/>
      <c r="R325" s="192"/>
      <c r="S325" s="192"/>
      <c r="T325" s="192"/>
      <c r="U325" s="192"/>
      <c r="V325" s="192"/>
      <c r="W325" s="192"/>
      <c r="X325" s="192"/>
      <c r="Y325" s="192"/>
      <c r="Z325" s="192"/>
      <c r="AA325" s="192"/>
      <c r="AB325" s="192"/>
      <c r="AC325" s="192"/>
      <c r="AD325" s="192"/>
      <c r="AE325" s="192"/>
      <c r="AF325" s="192"/>
      <c r="AG325" s="192"/>
      <c r="AH325" s="192"/>
      <c r="AI325" s="192"/>
      <c r="AJ325" s="192"/>
      <c r="AK325" s="192"/>
      <c r="AL325" s="192"/>
      <c r="AM325" s="219">
        <f>AM323-AM324</f>
        <v>1.2097278774636584</v>
      </c>
      <c r="AN325" s="222">
        <f t="shared" ref="AN325:BK325" si="4654">AN323-AN324</f>
        <v>1.2283778489078898</v>
      </c>
      <c r="AO325" s="222">
        <f t="shared" si="4654"/>
        <v>1.24731534074522</v>
      </c>
      <c r="AP325" s="222">
        <f t="shared" si="4654"/>
        <v>1.2665447855817087</v>
      </c>
      <c r="AQ325" s="222">
        <f t="shared" si="4654"/>
        <v>1.2860706843594267</v>
      </c>
      <c r="AR325" s="222">
        <f t="shared" si="4654"/>
        <v>1.305897607409968</v>
      </c>
      <c r="AS325" s="222">
        <f t="shared" si="4654"/>
        <v>1.3260301955242049</v>
      </c>
      <c r="AT325" s="222">
        <f t="shared" si="4654"/>
        <v>1.3464731610385363</v>
      </c>
      <c r="AU325" s="222">
        <f t="shared" si="4654"/>
        <v>1.3672312889378804</v>
      </c>
      <c r="AV325" s="222">
        <f t="shared" si="4654"/>
        <v>1.3883094379756726</v>
      </c>
      <c r="AW325" s="222">
        <f t="shared" si="4654"/>
        <v>1.4097125418111309</v>
      </c>
      <c r="AX325" s="222">
        <f t="shared" si="4654"/>
        <v>1.4314456101640527</v>
      </c>
      <c r="AY325" s="222">
        <f t="shared" si="4654"/>
        <v>1.453513729987415</v>
      </c>
      <c r="AZ325" s="222">
        <f t="shared" si="4654"/>
        <v>1.4759220666580544</v>
      </c>
      <c r="BA325" s="222">
        <f t="shared" si="4654"/>
        <v>1.4986758651856995</v>
      </c>
      <c r="BB325" s="222">
        <f t="shared" si="4654"/>
        <v>1.5217804514406457</v>
      </c>
      <c r="BC325" s="222">
        <f t="shared" si="4654"/>
        <v>1.5452412334003556</v>
      </c>
      <c r="BD325" s="222">
        <f t="shared" si="4654"/>
        <v>1.5690637024152778</v>
      </c>
      <c r="BE325" s="222">
        <f t="shared" si="4654"/>
        <v>1.59325343449418</v>
      </c>
      <c r="BF325" s="222">
        <f t="shared" si="4654"/>
        <v>0</v>
      </c>
      <c r="BG325" s="222">
        <f t="shared" si="4654"/>
        <v>0</v>
      </c>
      <c r="BH325" s="222">
        <f t="shared" si="4654"/>
        <v>0</v>
      </c>
      <c r="BI325" s="222">
        <f t="shared" si="4654"/>
        <v>0</v>
      </c>
      <c r="BJ325" s="222">
        <f t="shared" si="4654"/>
        <v>0</v>
      </c>
      <c r="BK325" s="222">
        <f t="shared" si="4654"/>
        <v>0</v>
      </c>
    </row>
    <row r="326" spans="1:63" ht="7.8" x14ac:dyDescent="0.15">
      <c r="A326" s="205" t="s">
        <v>7</v>
      </c>
      <c r="B326" s="192"/>
      <c r="C326" s="192"/>
      <c r="D326" s="192"/>
      <c r="E326" s="192"/>
      <c r="F326" s="192"/>
      <c r="G326" s="192"/>
      <c r="H326" s="192"/>
      <c r="I326" s="192"/>
      <c r="J326" s="192"/>
      <c r="K326" s="192"/>
      <c r="L326" s="192"/>
      <c r="M326" s="192"/>
      <c r="N326" s="192"/>
      <c r="O326" s="192"/>
      <c r="P326" s="192"/>
      <c r="Q326" s="192"/>
      <c r="R326" s="192"/>
      <c r="S326" s="192"/>
      <c r="T326" s="192"/>
      <c r="U326" s="192"/>
      <c r="V326" s="192"/>
      <c r="W326" s="192"/>
      <c r="X326" s="192"/>
      <c r="Y326" s="192"/>
      <c r="Z326" s="192"/>
      <c r="AA326" s="192"/>
      <c r="AB326" s="192"/>
      <c r="AC326" s="192"/>
      <c r="AD326" s="192"/>
      <c r="AE326" s="192"/>
      <c r="AF326" s="192"/>
      <c r="AG326" s="192"/>
      <c r="AH326" s="192"/>
      <c r="AI326" s="192"/>
      <c r="AJ326" s="192"/>
      <c r="AK326" s="192"/>
      <c r="AL326" s="192"/>
      <c r="AM326" s="214" cm="1">
        <f t="array" ref="AM326">INDEX(LoanOriginations,$A321)</f>
        <v>119.07268903715568</v>
      </c>
      <c r="AN326" s="199">
        <f t="shared" ref="AN326:BK326" si="4655">AM326*(1-MitigateDelinquency*MitigateChargeoff)  *  IF(AN321=0,0,IF(AN321-102=LoanSaleHeld,0.6,1))</f>
        <v>118.95361634811853</v>
      </c>
      <c r="AO326" s="199">
        <f t="shared" si="4655"/>
        <v>118.83466273177041</v>
      </c>
      <c r="AP326" s="199">
        <f t="shared" si="4655"/>
        <v>118.71582806903864</v>
      </c>
      <c r="AQ326" s="199">
        <f t="shared" si="4655"/>
        <v>71.158267344581759</v>
      </c>
      <c r="AR326" s="199">
        <f t="shared" si="4655"/>
        <v>71.087109077237173</v>
      </c>
      <c r="AS326" s="199">
        <f t="shared" si="4655"/>
        <v>71.016021968159933</v>
      </c>
      <c r="AT326" s="199">
        <f t="shared" si="4655"/>
        <v>70.94500594619177</v>
      </c>
      <c r="AU326" s="199">
        <f t="shared" si="4655"/>
        <v>70.874060940245585</v>
      </c>
      <c r="AV326" s="199">
        <f t="shared" si="4655"/>
        <v>70.803186879305343</v>
      </c>
      <c r="AW326" s="199">
        <f t="shared" si="4655"/>
        <v>70.732383692426041</v>
      </c>
      <c r="AX326" s="199">
        <f t="shared" si="4655"/>
        <v>70.66165130873361</v>
      </c>
      <c r="AY326" s="199">
        <f t="shared" si="4655"/>
        <v>70.590989657424871</v>
      </c>
      <c r="AZ326" s="199">
        <f t="shared" si="4655"/>
        <v>70.520398667767452</v>
      </c>
      <c r="BA326" s="199">
        <f t="shared" si="4655"/>
        <v>70.449878269099685</v>
      </c>
      <c r="BB326" s="199">
        <f t="shared" si="4655"/>
        <v>70.379428390830583</v>
      </c>
      <c r="BC326" s="199">
        <f t="shared" si="4655"/>
        <v>70.309048962439746</v>
      </c>
      <c r="BD326" s="199">
        <f t="shared" si="4655"/>
        <v>70.238739913477303</v>
      </c>
      <c r="BE326" s="199">
        <f t="shared" si="4655"/>
        <v>70.168501173563826</v>
      </c>
      <c r="BF326" s="199">
        <f t="shared" si="4655"/>
        <v>0</v>
      </c>
      <c r="BG326" s="199">
        <f t="shared" si="4655"/>
        <v>0</v>
      </c>
      <c r="BH326" s="199">
        <f t="shared" si="4655"/>
        <v>0</v>
      </c>
      <c r="BI326" s="199">
        <f t="shared" si="4655"/>
        <v>0</v>
      </c>
      <c r="BJ326" s="199">
        <f t="shared" si="4655"/>
        <v>0</v>
      </c>
      <c r="BK326" s="199">
        <f t="shared" si="4655"/>
        <v>0</v>
      </c>
    </row>
    <row r="327" spans="1:63" ht="7.8" x14ac:dyDescent="0.15">
      <c r="A327" s="207" t="s">
        <v>96</v>
      </c>
      <c r="B327" s="192"/>
      <c r="C327" s="192"/>
      <c r="D327" s="192"/>
      <c r="E327" s="192"/>
      <c r="F327" s="192"/>
      <c r="G327" s="192"/>
      <c r="H327" s="192"/>
      <c r="I327" s="192"/>
      <c r="J327" s="192"/>
      <c r="K327" s="192"/>
      <c r="L327" s="192"/>
      <c r="M327" s="192"/>
      <c r="N327" s="192"/>
      <c r="O327" s="192"/>
      <c r="P327" s="192"/>
      <c r="Q327" s="192"/>
      <c r="R327" s="192"/>
      <c r="S327" s="192"/>
      <c r="T327" s="192"/>
      <c r="U327" s="192"/>
      <c r="V327" s="192"/>
      <c r="W327" s="192"/>
      <c r="X327" s="192"/>
      <c r="Y327" s="192"/>
      <c r="Z327" s="192"/>
      <c r="AA327" s="192"/>
      <c r="AB327" s="192"/>
      <c r="AC327" s="192"/>
      <c r="AD327" s="192"/>
      <c r="AE327" s="192"/>
      <c r="AF327" s="192"/>
      <c r="AG327" s="192"/>
      <c r="AH327" s="192"/>
      <c r="AI327" s="192"/>
      <c r="AJ327" s="192"/>
      <c r="AK327" s="192"/>
      <c r="AL327" s="192"/>
      <c r="AM327" s="223">
        <f>AM324*AM326</f>
        <v>45.892598899737088</v>
      </c>
      <c r="AN327" s="200">
        <f t="shared" ref="AN327" si="4656">AN324*AN326</f>
        <v>43.628224752756886</v>
      </c>
      <c r="AO327" s="200">
        <f t="shared" ref="AO327" si="4657">AO324*AO326</f>
        <v>41.334166072529356</v>
      </c>
      <c r="AP327" s="200">
        <f t="shared" ref="AP327" si="4658">AP324*AP326</f>
        <v>39.009992439385158</v>
      </c>
      <c r="AQ327" s="200">
        <f t="shared" ref="AQ327" si="4659">AQ324*AQ326</f>
        <v>21.993160342799367</v>
      </c>
      <c r="AR327" s="200">
        <f t="shared" ref="AR327" si="4660">AR324*AR326</f>
        <v>20.561728540896755</v>
      </c>
      <c r="AS327" s="200">
        <f t="shared" ref="AS327" si="4661">AS324*AS326</f>
        <v>19.11143049255929</v>
      </c>
      <c r="AT327" s="200">
        <f t="shared" ref="AT327" si="4662">AT324*AT326</f>
        <v>17.641992752094691</v>
      </c>
      <c r="AU327" s="200">
        <f t="shared" ref="AU327" si="4663">AU324*AU326</f>
        <v>16.15313793759907</v>
      </c>
      <c r="AV327" s="200">
        <f t="shared" ref="AV327" si="4664">AV324*AV326</f>
        <v>14.644584674268811</v>
      </c>
      <c r="AW327" s="200">
        <f t="shared" ref="AW327" si="4665">AW324*AW326</f>
        <v>13.116047536896073</v>
      </c>
      <c r="AX327" s="200">
        <f t="shared" ref="AX327" si="4666">AX324*AX326</f>
        <v>11.567236991536156</v>
      </c>
      <c r="AY327" s="200">
        <f t="shared" ref="AY327" si="4667">AY324*AY326</f>
        <v>9.9978593363348249</v>
      </c>
      <c r="AZ327" s="200">
        <f t="shared" ref="AZ327" si="4668">AZ324*AZ326</f>
        <v>8.4076166415034521</v>
      </c>
      <c r="BA327" s="200">
        <f t="shared" ref="BA327" si="4669">BA324*BA326</f>
        <v>6.7962066884297396</v>
      </c>
      <c r="BB327" s="200">
        <f t="shared" ref="BB327" si="4670">BB324*BB326</f>
        <v>5.1633229079115548</v>
      </c>
      <c r="BC327" s="200">
        <f t="shared" ref="BC327" si="4671">BC324*BC326</f>
        <v>3.5086543175012728</v>
      </c>
      <c r="BD327" s="200">
        <f t="shared" ref="BD327" si="4672">BD324*BD326</f>
        <v>1.8318854579477823</v>
      </c>
      <c r="BE327" s="200">
        <f t="shared" ref="BE327" si="4673">BE324*BE326</f>
        <v>0.13269632872319118</v>
      </c>
      <c r="BF327" s="200">
        <f t="shared" ref="BF327" si="4674">BF324*BF326</f>
        <v>0</v>
      </c>
      <c r="BG327" s="200">
        <f t="shared" ref="BG327" si="4675">BG324*BG326</f>
        <v>0</v>
      </c>
      <c r="BH327" s="200">
        <f t="shared" ref="BH327" si="4676">BH324*BH326</f>
        <v>0</v>
      </c>
      <c r="BI327" s="200">
        <f t="shared" ref="BI327" si="4677">BI324*BI326</f>
        <v>0</v>
      </c>
      <c r="BJ327" s="200">
        <f t="shared" ref="BJ327" si="4678">BJ324*BJ326</f>
        <v>0</v>
      </c>
      <c r="BK327" s="200">
        <f t="shared" ref="BK327" si="4679">BK324*BK326</f>
        <v>0</v>
      </c>
    </row>
    <row r="328" spans="1:63" ht="7.8" x14ac:dyDescent="0.15">
      <c r="A328" s="206" t="s">
        <v>97</v>
      </c>
      <c r="B328" s="192"/>
      <c r="C328" s="192"/>
      <c r="D328" s="192"/>
      <c r="E328" s="192"/>
      <c r="F328" s="192"/>
      <c r="G328" s="192"/>
      <c r="H328" s="192"/>
      <c r="I328" s="192"/>
      <c r="J328" s="192"/>
      <c r="K328" s="192"/>
      <c r="L328" s="192"/>
      <c r="M328" s="192"/>
      <c r="N328" s="192"/>
      <c r="O328" s="192"/>
      <c r="P328" s="192"/>
      <c r="Q328" s="192"/>
      <c r="R328" s="192"/>
      <c r="S328" s="192"/>
      <c r="T328" s="192"/>
      <c r="U328" s="192"/>
      <c r="V328" s="192"/>
      <c r="W328" s="192"/>
      <c r="X328" s="192"/>
      <c r="Y328" s="192"/>
      <c r="Z328" s="192"/>
      <c r="AA328" s="192"/>
      <c r="AB328" s="192"/>
      <c r="AC328" s="192"/>
      <c r="AD328" s="192"/>
      <c r="AE328" s="192"/>
      <c r="AF328" s="192"/>
      <c r="AG328" s="192"/>
      <c r="AH328" s="192"/>
      <c r="AI328" s="192"/>
      <c r="AJ328" s="192"/>
      <c r="AK328" s="192"/>
      <c r="AL328" s="192"/>
      <c r="AM328" s="223">
        <f>AM325*AM326</f>
        <v>144.04555137280857</v>
      </c>
      <c r="AN328" s="200">
        <f>AN325*AN326</f>
        <v>146.11998736951622</v>
      </c>
      <c r="AO328" s="200">
        <f t="shared" ref="AO328:BK328" si="4680">AO325*AO326</f>
        <v>148.22429783762149</v>
      </c>
      <c r="AP328" s="200">
        <f t="shared" si="4680"/>
        <v>150.35891300685554</v>
      </c>
      <c r="AQ328" s="200">
        <f t="shared" si="4680"/>
        <v>91.514561581677313</v>
      </c>
      <c r="AR328" s="200">
        <f t="shared" si="4680"/>
        <v>92.83248566165544</v>
      </c>
      <c r="AS328" s="200">
        <f t="shared" si="4680"/>
        <v>94.169389495790341</v>
      </c>
      <c r="AT328" s="200">
        <f t="shared" si="4680"/>
        <v>95.525546416266593</v>
      </c>
      <c r="AU328" s="200">
        <f t="shared" si="4680"/>
        <v>96.901233691593859</v>
      </c>
      <c r="AV328" s="200">
        <f t="shared" si="4680"/>
        <v>98.296732583294926</v>
      </c>
      <c r="AW328" s="200">
        <f t="shared" si="4680"/>
        <v>99.712328403410098</v>
      </c>
      <c r="AX328" s="200">
        <f t="shared" si="4680"/>
        <v>101.14831057282971</v>
      </c>
      <c r="AY328" s="200">
        <f t="shared" si="4680"/>
        <v>102.60497268046666</v>
      </c>
      <c r="AZ328" s="200">
        <f t="shared" si="4680"/>
        <v>104.08261254328124</v>
      </c>
      <c r="BA328" s="200">
        <f t="shared" si="4680"/>
        <v>105.58153226717018</v>
      </c>
      <c r="BB328" s="200">
        <f t="shared" si="4680"/>
        <v>107.10203830873276</v>
      </c>
      <c r="BC328" s="200">
        <f t="shared" si="4680"/>
        <v>108.64444153792638</v>
      </c>
      <c r="BD328" s="200">
        <f t="shared" si="4680"/>
        <v>110.20905730162445</v>
      </c>
      <c r="BE328" s="200">
        <f t="shared" si="4680"/>
        <v>111.79620548808947</v>
      </c>
      <c r="BF328" s="200">
        <f t="shared" si="4680"/>
        <v>0</v>
      </c>
      <c r="BG328" s="200">
        <f t="shared" si="4680"/>
        <v>0</v>
      </c>
      <c r="BH328" s="200">
        <f t="shared" si="4680"/>
        <v>0</v>
      </c>
      <c r="BI328" s="200">
        <f t="shared" si="4680"/>
        <v>0</v>
      </c>
      <c r="BJ328" s="200">
        <f t="shared" si="4680"/>
        <v>0</v>
      </c>
      <c r="BK328" s="200">
        <f t="shared" si="4680"/>
        <v>0</v>
      </c>
    </row>
    <row r="329" spans="1:63" ht="7.8" x14ac:dyDescent="0.15">
      <c r="A329" s="208" t="s">
        <v>203</v>
      </c>
      <c r="B329" s="192"/>
      <c r="C329" s="192"/>
      <c r="D329" s="192"/>
      <c r="E329" s="192"/>
      <c r="F329" s="192"/>
      <c r="G329" s="192"/>
      <c r="H329" s="192"/>
      <c r="I329" s="192"/>
      <c r="J329" s="192"/>
      <c r="K329" s="192"/>
      <c r="L329" s="192"/>
      <c r="M329" s="192"/>
      <c r="N329" s="192"/>
      <c r="O329" s="192"/>
      <c r="P329" s="192"/>
      <c r="Q329" s="192"/>
      <c r="R329" s="192"/>
      <c r="S329" s="192"/>
      <c r="T329" s="192"/>
      <c r="U329" s="192"/>
      <c r="V329" s="192"/>
      <c r="W329" s="192"/>
      <c r="X329" s="192"/>
      <c r="Y329" s="192"/>
      <c r="Z329" s="192"/>
      <c r="AA329" s="192"/>
      <c r="AB329" s="192"/>
      <c r="AC329" s="192"/>
      <c r="AD329" s="192"/>
      <c r="AE329" s="192"/>
      <c r="AF329" s="192"/>
      <c r="AG329" s="192"/>
      <c r="AH329" s="192"/>
      <c r="AI329" s="192"/>
      <c r="AJ329" s="192"/>
      <c r="AK329" s="192"/>
      <c r="AL329" s="192"/>
      <c r="AM329" s="224">
        <f>IF(AM321-101&lt;&gt;LoanSaleHeld,0,SUM($D328:AM328)*LoanSalePercent)</f>
        <v>0</v>
      </c>
      <c r="AN329" s="225">
        <f>IF(AN321-101&lt;&gt;LoanSaleHeld,0,SUM($D328:AN328)*LoanSalePercent)</f>
        <v>0</v>
      </c>
      <c r="AO329" s="225">
        <f>IF(AO321-101&lt;&gt;LoanSaleHeld,0,SUM($D328:AO328)*LoanSalePercent)</f>
        <v>0</v>
      </c>
      <c r="AP329" s="225">
        <f>IF(AP321-101&lt;&gt;LoanSaleHeld,0,SUM($D328:AP328)*LoanSalePercent)</f>
        <v>235.49949983472075</v>
      </c>
      <c r="AQ329" s="225">
        <f>IF(AQ321-101&lt;&gt;LoanSaleHeld,0,SUM($D328:AQ328)*LoanSalePercent)</f>
        <v>0</v>
      </c>
      <c r="AR329" s="225">
        <f>IF(AR321-101&lt;&gt;LoanSaleHeld,0,SUM($D328:AR328)*LoanSalePercent)</f>
        <v>0</v>
      </c>
      <c r="AS329" s="225">
        <f>IF(AS321-101&lt;&gt;LoanSaleHeld,0,SUM($D328:AS328)*LoanSalePercent)</f>
        <v>0</v>
      </c>
      <c r="AT329" s="225">
        <f>IF(AT321-101&lt;&gt;LoanSaleHeld,0,SUM($D328:AT328)*LoanSalePercent)</f>
        <v>0</v>
      </c>
      <c r="AU329" s="225">
        <f>IF(AU321-101&lt;&gt;LoanSaleHeld,0,SUM($D328:AU328)*LoanSalePercent)</f>
        <v>0</v>
      </c>
      <c r="AV329" s="225">
        <f>IF(AV321-101&lt;&gt;LoanSaleHeld,0,SUM($D328:AV328)*LoanSalePercent)</f>
        <v>0</v>
      </c>
      <c r="AW329" s="225">
        <f>IF(AW321-101&lt;&gt;LoanSaleHeld,0,SUM($D328:AW328)*LoanSalePercent)</f>
        <v>0</v>
      </c>
      <c r="AX329" s="225">
        <f>IF(AX321-101&lt;&gt;LoanSaleHeld,0,SUM($D328:AX328)*LoanSalePercent)</f>
        <v>0</v>
      </c>
      <c r="AY329" s="225">
        <f>IF(AY321-101&lt;&gt;LoanSaleHeld,0,SUM($D328:AY328)*LoanSalePercent)</f>
        <v>0</v>
      </c>
      <c r="AZ329" s="225">
        <f>IF(AZ321-101&lt;&gt;LoanSaleHeld,0,SUM($D328:AZ328)*LoanSalePercent)</f>
        <v>0</v>
      </c>
      <c r="BA329" s="225">
        <f>IF(BA321-101&lt;&gt;LoanSaleHeld,0,SUM($D328:BA328)*LoanSalePercent)</f>
        <v>0</v>
      </c>
      <c r="BB329" s="225">
        <f>IF(BB321-101&lt;&gt;LoanSaleHeld,0,SUM($D328:BB328)*LoanSalePercent)</f>
        <v>0</v>
      </c>
      <c r="BC329" s="225">
        <f>IF(BC321-101&lt;&gt;LoanSaleHeld,0,SUM($D328:BC328)*LoanSalePercent)</f>
        <v>0</v>
      </c>
      <c r="BD329" s="225">
        <f>IF(BD321-101&lt;&gt;LoanSaleHeld,0,SUM($D328:BD328)*LoanSalePercent)</f>
        <v>0</v>
      </c>
      <c r="BE329" s="225">
        <f>IF(BE321-101&lt;&gt;LoanSaleHeld,0,SUM($D328:BE328)*LoanSalePercent)</f>
        <v>0</v>
      </c>
      <c r="BF329" s="225">
        <f>IF(BF321-101&lt;&gt;LoanSaleHeld,0,SUM($D328:BF328)*LoanSalePercent)</f>
        <v>0</v>
      </c>
      <c r="BG329" s="225">
        <f>IF(BG321-101&lt;&gt;LoanSaleHeld,0,SUM($D328:BG328)*LoanSalePercent)</f>
        <v>0</v>
      </c>
      <c r="BH329" s="225">
        <f>IF(BH321-101&lt;&gt;LoanSaleHeld,0,SUM($D328:BH328)*LoanSalePercent)</f>
        <v>0</v>
      </c>
      <c r="BI329" s="225">
        <f>IF(BI321-101&lt;&gt;LoanSaleHeld,0,SUM($D328:BI328)*LoanSalePercent)</f>
        <v>0</v>
      </c>
      <c r="BJ329" s="225">
        <f>IF(BJ321-101&lt;&gt;LoanSaleHeld,0,SUM($D328:BJ328)*LoanSalePercent)</f>
        <v>0</v>
      </c>
      <c r="BK329" s="225">
        <f>IF(BK321-101&lt;&gt;LoanSaleHeld,0,SUM($D328:BK328)*LoanSalePercent)</f>
        <v>0</v>
      </c>
    </row>
    <row r="330" spans="1:63" ht="7.8" x14ac:dyDescent="0.15">
      <c r="A330" s="204">
        <f t="shared" ref="A330" si="4681">A321+1</f>
        <v>37</v>
      </c>
      <c r="B330" s="192"/>
      <c r="C330" s="192"/>
      <c r="D330" s="192"/>
      <c r="E330" s="192"/>
      <c r="F330" s="192"/>
      <c r="G330" s="192"/>
      <c r="H330" s="192"/>
      <c r="I330" s="192"/>
      <c r="J330" s="192"/>
      <c r="K330" s="192"/>
      <c r="L330" s="192"/>
      <c r="M330" s="192"/>
      <c r="N330" s="192"/>
      <c r="O330" s="192"/>
      <c r="P330" s="192"/>
      <c r="Q330" s="192"/>
      <c r="R330" s="192"/>
      <c r="S330" s="192"/>
      <c r="T330" s="192"/>
      <c r="U330" s="192"/>
      <c r="V330" s="192"/>
      <c r="W330" s="192"/>
      <c r="X330" s="192"/>
      <c r="Y330" s="192"/>
      <c r="Z330" s="192"/>
      <c r="AA330" s="192"/>
      <c r="AB330" s="192"/>
      <c r="AC330" s="192"/>
      <c r="AD330" s="192"/>
      <c r="AE330" s="192"/>
      <c r="AF330" s="192"/>
      <c r="AG330" s="192"/>
      <c r="AH330" s="192"/>
      <c r="AI330" s="192"/>
      <c r="AJ330" s="192"/>
      <c r="AK330" s="192"/>
      <c r="AL330" s="192"/>
      <c r="AM330" s="192"/>
      <c r="AN330" s="195">
        <v>101</v>
      </c>
      <c r="AO330" s="196">
        <f t="shared" ref="AO330" si="4682">IF(AO331=0,0,AN330+1)</f>
        <v>102</v>
      </c>
      <c r="AP330" s="196">
        <f t="shared" ref="AP330" si="4683">IF(AP331=0,0,AO330+1)</f>
        <v>103</v>
      </c>
      <c r="AQ330" s="196">
        <f t="shared" ref="AQ330" si="4684">IF(AQ331=0,0,AP330+1)</f>
        <v>104</v>
      </c>
      <c r="AR330" s="196">
        <f t="shared" ref="AR330" si="4685">IF(AR331=0,0,AQ330+1)</f>
        <v>105</v>
      </c>
      <c r="AS330" s="196">
        <f t="shared" ref="AS330" si="4686">IF(AS331=0,0,AR330+1)</f>
        <v>106</v>
      </c>
      <c r="AT330" s="196">
        <f t="shared" ref="AT330" si="4687">IF(AT331=0,0,AS330+1)</f>
        <v>107</v>
      </c>
      <c r="AU330" s="196">
        <f t="shared" ref="AU330" si="4688">IF(AU331=0,0,AT330+1)</f>
        <v>108</v>
      </c>
      <c r="AV330" s="196">
        <f t="shared" ref="AV330" si="4689">IF(AV331=0,0,AU330+1)</f>
        <v>109</v>
      </c>
      <c r="AW330" s="196">
        <f t="shared" ref="AW330" si="4690">IF(AW331=0,0,AV330+1)</f>
        <v>110</v>
      </c>
      <c r="AX330" s="196">
        <f t="shared" ref="AX330" si="4691">IF(AX331=0,0,AW330+1)</f>
        <v>111</v>
      </c>
      <c r="AY330" s="196">
        <f t="shared" ref="AY330" si="4692">IF(AY331=0,0,AX330+1)</f>
        <v>112</v>
      </c>
      <c r="AZ330" s="196">
        <f t="shared" ref="AZ330" si="4693">IF(AZ331=0,0,AY330+1)</f>
        <v>113</v>
      </c>
      <c r="BA330" s="196">
        <f t="shared" ref="BA330" si="4694">IF(BA331=0,0,AZ330+1)</f>
        <v>114</v>
      </c>
      <c r="BB330" s="196">
        <f t="shared" ref="BB330" si="4695">IF(BB331=0,0,BA330+1)</f>
        <v>115</v>
      </c>
      <c r="BC330" s="196">
        <f t="shared" ref="BC330" si="4696">IF(BC331=0,0,BB330+1)</f>
        <v>116</v>
      </c>
      <c r="BD330" s="196">
        <f t="shared" ref="BD330" si="4697">IF(BD331=0,0,BC330+1)</f>
        <v>117</v>
      </c>
      <c r="BE330" s="196">
        <f t="shared" ref="BE330" si="4698">IF(BE331=0,0,BD330+1)</f>
        <v>118</v>
      </c>
      <c r="BF330" s="196">
        <f t="shared" ref="BF330" si="4699">IF(BF331=0,0,BE330+1)</f>
        <v>119</v>
      </c>
      <c r="BG330" s="196">
        <f t="shared" ref="BG330" si="4700">IF(BG331=0,0,BF330+1)</f>
        <v>0</v>
      </c>
      <c r="BH330" s="196">
        <f t="shared" ref="BH330" si="4701">IF(BH331=0,0,BG330+1)</f>
        <v>0</v>
      </c>
      <c r="BI330" s="196">
        <f t="shared" ref="BI330" si="4702">IF(BI331=0,0,BH330+1)</f>
        <v>0</v>
      </c>
      <c r="BJ330" s="196">
        <f t="shared" ref="BJ330" si="4703">IF(BJ331=0,0,BI330+1)</f>
        <v>0</v>
      </c>
      <c r="BK330" s="196">
        <f t="shared" ref="BK330" si="4704">IF(BK331=0,0,BJ330+1)</f>
        <v>0</v>
      </c>
    </row>
    <row r="331" spans="1:63" ht="7.8" x14ac:dyDescent="0.15">
      <c r="A331" s="216" t="s">
        <v>178</v>
      </c>
      <c r="B331" s="192"/>
      <c r="C331" s="192"/>
      <c r="D331" s="192"/>
      <c r="E331" s="192"/>
      <c r="F331" s="192"/>
      <c r="G331" s="192"/>
      <c r="H331" s="192"/>
      <c r="I331" s="192"/>
      <c r="J331" s="192"/>
      <c r="K331" s="192"/>
      <c r="L331" s="192"/>
      <c r="M331" s="192"/>
      <c r="N331" s="192"/>
      <c r="O331" s="192"/>
      <c r="P331" s="192"/>
      <c r="Q331" s="192"/>
      <c r="R331" s="192"/>
      <c r="S331" s="192"/>
      <c r="T331" s="192"/>
      <c r="U331" s="192"/>
      <c r="V331" s="192"/>
      <c r="W331" s="192"/>
      <c r="X331" s="192"/>
      <c r="Y331" s="192"/>
      <c r="Z331" s="192"/>
      <c r="AA331" s="192"/>
      <c r="AB331" s="192"/>
      <c r="AC331" s="192"/>
      <c r="AD331" s="192"/>
      <c r="AE331" s="192"/>
      <c r="AF331" s="192"/>
      <c r="AG331" s="192"/>
      <c r="AH331" s="192"/>
      <c r="AI331" s="192"/>
      <c r="AJ331" s="192"/>
      <c r="AK331" s="192"/>
      <c r="AL331" s="192"/>
      <c r="AM331" s="192"/>
      <c r="AN331" s="217">
        <f>LoanSize</f>
        <v>25</v>
      </c>
      <c r="AO331" s="215">
        <f>IF(AN331-AN334&lt;=0.1,0,AN331-AN334)</f>
        <v>23.79027212253634</v>
      </c>
      <c r="AP331" s="215">
        <f t="shared" ref="AP331:BK331" si="4705">IF(AO331-AO334&lt;=0.1,0,AO331-AO334)</f>
        <v>22.56189427362845</v>
      </c>
      <c r="AQ331" s="215">
        <f t="shared" si="4705"/>
        <v>21.314578932883229</v>
      </c>
      <c r="AR331" s="215">
        <f t="shared" si="4705"/>
        <v>20.048034147301522</v>
      </c>
      <c r="AS331" s="215">
        <f t="shared" si="4705"/>
        <v>18.761963462942095</v>
      </c>
      <c r="AT331" s="215">
        <f t="shared" si="4705"/>
        <v>17.456065855532128</v>
      </c>
      <c r="AU331" s="215">
        <f t="shared" si="4705"/>
        <v>16.130035660007923</v>
      </c>
      <c r="AV331" s="215">
        <f t="shared" si="4705"/>
        <v>14.783562498969387</v>
      </c>
      <c r="AW331" s="215">
        <f t="shared" si="4705"/>
        <v>13.416331210031506</v>
      </c>
      <c r="AX331" s="215">
        <f t="shared" si="4705"/>
        <v>12.028021772055833</v>
      </c>
      <c r="AY331" s="215">
        <f t="shared" si="4705"/>
        <v>10.618309230244702</v>
      </c>
      <c r="AZ331" s="215">
        <f t="shared" si="4705"/>
        <v>9.1868636200806488</v>
      </c>
      <c r="BA331" s="215">
        <f t="shared" si="4705"/>
        <v>7.7333498900932334</v>
      </c>
      <c r="BB331" s="215">
        <f t="shared" si="4705"/>
        <v>6.2574278234351794</v>
      </c>
      <c r="BC331" s="215">
        <f t="shared" si="4705"/>
        <v>4.7587519582494799</v>
      </c>
      <c r="BD331" s="215">
        <f t="shared" si="4705"/>
        <v>3.2369715068088345</v>
      </c>
      <c r="BE331" s="215">
        <f t="shared" si="4705"/>
        <v>1.6917302734084789</v>
      </c>
      <c r="BF331" s="215">
        <f t="shared" si="4705"/>
        <v>0.12266657099320111</v>
      </c>
      <c r="BG331" s="215">
        <f t="shared" si="4705"/>
        <v>0</v>
      </c>
      <c r="BH331" s="215">
        <f t="shared" si="4705"/>
        <v>0</v>
      </c>
      <c r="BI331" s="215">
        <f t="shared" si="4705"/>
        <v>0</v>
      </c>
      <c r="BJ331" s="215">
        <f t="shared" si="4705"/>
        <v>0</v>
      </c>
      <c r="BK331" s="215">
        <f t="shared" si="4705"/>
        <v>0</v>
      </c>
    </row>
    <row r="332" spans="1:63" ht="7.8" x14ac:dyDescent="0.15">
      <c r="A332" s="218" t="s">
        <v>179</v>
      </c>
      <c r="B332" s="192"/>
      <c r="C332" s="192"/>
      <c r="D332" s="192"/>
      <c r="E332" s="192"/>
      <c r="F332" s="192"/>
      <c r="G332" s="192"/>
      <c r="H332" s="192"/>
      <c r="I332" s="192"/>
      <c r="J332" s="192"/>
      <c r="K332" s="192"/>
      <c r="L332" s="192"/>
      <c r="M332" s="192"/>
      <c r="N332" s="192"/>
      <c r="O332" s="192"/>
      <c r="P332" s="192"/>
      <c r="Q332" s="192"/>
      <c r="R332" s="192"/>
      <c r="S332" s="192"/>
      <c r="T332" s="192"/>
      <c r="U332" s="192"/>
      <c r="V332" s="192"/>
      <c r="W332" s="192"/>
      <c r="X332" s="192"/>
      <c r="Y332" s="192"/>
      <c r="Z332" s="192"/>
      <c r="AA332" s="192"/>
      <c r="AB332" s="192"/>
      <c r="AC332" s="192"/>
      <c r="AD332" s="192"/>
      <c r="AE332" s="192"/>
      <c r="AF332" s="192"/>
      <c r="AG332" s="192"/>
      <c r="AH332" s="192"/>
      <c r="AI332" s="192"/>
      <c r="AJ332" s="192"/>
      <c r="AK332" s="192"/>
      <c r="AL332" s="192"/>
      <c r="AM332" s="192"/>
      <c r="AN332" s="219">
        <f>IF(AN331=0,0,PMT(INDEX(LoanCohortRate,1),LoanTerm, -LoanSize))</f>
        <v>1.5951445441303251</v>
      </c>
      <c r="AO332" s="222">
        <f t="shared" ref="AO332" si="4706">IF(AO331=0,0, AN332)</f>
        <v>1.5951445441303251</v>
      </c>
      <c r="AP332" s="222">
        <f t="shared" ref="AP332" si="4707">IF(AP331=0,0, AO332)</f>
        <v>1.5951445441303251</v>
      </c>
      <c r="AQ332" s="222">
        <f t="shared" ref="AQ332" si="4708">IF(AQ331=0,0, AP332)</f>
        <v>1.5951445441303251</v>
      </c>
      <c r="AR332" s="222">
        <f t="shared" ref="AR332" si="4709">IF(AR331=0,0, AQ332)</f>
        <v>1.5951445441303251</v>
      </c>
      <c r="AS332" s="222">
        <f t="shared" ref="AS332" si="4710">IF(AS331=0,0, AR332)</f>
        <v>1.5951445441303251</v>
      </c>
      <c r="AT332" s="222">
        <f t="shared" ref="AT332" si="4711">IF(AT331=0,0, AS332)</f>
        <v>1.5951445441303251</v>
      </c>
      <c r="AU332" s="222">
        <f t="shared" ref="AU332" si="4712">IF(AU331=0,0, AT332)</f>
        <v>1.5951445441303251</v>
      </c>
      <c r="AV332" s="222">
        <f t="shared" ref="AV332" si="4713">IF(AV331=0,0, AU332)</f>
        <v>1.5951445441303251</v>
      </c>
      <c r="AW332" s="222">
        <f t="shared" ref="AW332" si="4714">IF(AW331=0,0, AV332)</f>
        <v>1.5951445441303251</v>
      </c>
      <c r="AX332" s="222">
        <f t="shared" ref="AX332" si="4715">IF(AX331=0,0, AW332)</f>
        <v>1.5951445441303251</v>
      </c>
      <c r="AY332" s="222">
        <f t="shared" ref="AY332" si="4716">IF(AY331=0,0, AX332)</f>
        <v>1.5951445441303251</v>
      </c>
      <c r="AZ332" s="222">
        <f t="shared" ref="AZ332" si="4717">IF(AZ331=0,0, AY332)</f>
        <v>1.5951445441303251</v>
      </c>
      <c r="BA332" s="222">
        <f t="shared" ref="BA332" si="4718">IF(BA331=0,0, AZ332)</f>
        <v>1.5951445441303251</v>
      </c>
      <c r="BB332" s="222">
        <f t="shared" ref="BB332" si="4719">IF(BB331=0,0, BA332)</f>
        <v>1.5951445441303251</v>
      </c>
      <c r="BC332" s="222">
        <f t="shared" ref="BC332" si="4720">IF(BC331=0,0, BB332)</f>
        <v>1.5951445441303251</v>
      </c>
      <c r="BD332" s="222">
        <f t="shared" ref="BD332" si="4721">IF(BD331=0,0, BC332)</f>
        <v>1.5951445441303251</v>
      </c>
      <c r="BE332" s="222">
        <f t="shared" ref="BE332" si="4722">IF(BE331=0,0, BD332)</f>
        <v>1.5951445441303251</v>
      </c>
      <c r="BF332" s="222">
        <f t="shared" ref="BF332" si="4723">IF(BF331=0,0, BE332)</f>
        <v>1.5951445441303251</v>
      </c>
      <c r="BG332" s="222">
        <f t="shared" ref="BG332" si="4724">IF(BG331=0,0, BF332)</f>
        <v>0</v>
      </c>
      <c r="BH332" s="222">
        <f t="shared" ref="BH332" si="4725">IF(BH331=0,0, BG332)</f>
        <v>0</v>
      </c>
      <c r="BI332" s="222">
        <f t="shared" ref="BI332" si="4726">IF(BI331=0,0, BH332)</f>
        <v>0</v>
      </c>
      <c r="BJ332" s="222">
        <f t="shared" ref="BJ332" si="4727">IF(BJ331=0,0, BI332)</f>
        <v>0</v>
      </c>
      <c r="BK332" s="222">
        <f t="shared" ref="BK332" si="4728">IF(BK331=0,0, BJ332)</f>
        <v>0</v>
      </c>
    </row>
    <row r="333" spans="1:63" ht="7.8" x14ac:dyDescent="0.15">
      <c r="A333" s="218" t="s">
        <v>180</v>
      </c>
      <c r="B333" s="192"/>
      <c r="C333" s="192"/>
      <c r="D333" s="192"/>
      <c r="E333" s="192"/>
      <c r="F333" s="192"/>
      <c r="G333" s="192"/>
      <c r="H333" s="192"/>
      <c r="I333" s="192"/>
      <c r="J333" s="192"/>
      <c r="K333" s="192"/>
      <c r="L333" s="192"/>
      <c r="M333" s="192"/>
      <c r="N333" s="192"/>
      <c r="O333" s="192"/>
      <c r="P333" s="192"/>
      <c r="Q333" s="192"/>
      <c r="R333" s="192"/>
      <c r="S333" s="192"/>
      <c r="T333" s="192"/>
      <c r="U333" s="192"/>
      <c r="V333" s="192"/>
      <c r="W333" s="192"/>
      <c r="X333" s="192"/>
      <c r="Y333" s="192"/>
      <c r="Z333" s="192"/>
      <c r="AA333" s="192"/>
      <c r="AB333" s="192"/>
      <c r="AC333" s="192"/>
      <c r="AD333" s="192"/>
      <c r="AE333" s="192"/>
      <c r="AF333" s="192"/>
      <c r="AG333" s="192"/>
      <c r="AH333" s="192"/>
      <c r="AI333" s="192"/>
      <c r="AJ333" s="192"/>
      <c r="AK333" s="192"/>
      <c r="AL333" s="192"/>
      <c r="AM333" s="192"/>
      <c r="AN333" s="220" cm="1">
        <f t="array" ref="AN333">AN331*INDEX(LoanCohortRate,$A330)</f>
        <v>0.38541666666666669</v>
      </c>
      <c r="AO333" s="221" cm="1">
        <f t="array" ref="AO333">AO331*INDEX(LoanCohortRate,$A330)</f>
        <v>0.36676669522243527</v>
      </c>
      <c r="AP333" s="221" cm="1">
        <f t="array" ref="AP333">AP331*INDEX(LoanCohortRate,$A330)</f>
        <v>0.34782920338510526</v>
      </c>
      <c r="AQ333" s="221" cm="1">
        <f t="array" ref="AQ333">AQ331*INDEX(LoanCohortRate,$A330)</f>
        <v>0.32859975854861645</v>
      </c>
      <c r="AR333" s="221" cm="1">
        <f t="array" ref="AR333">AR331*INDEX(LoanCohortRate,$A330)</f>
        <v>0.30907385977089846</v>
      </c>
      <c r="AS333" s="221" cm="1">
        <f t="array" ref="AS333">AS331*INDEX(LoanCohortRate,$A330)</f>
        <v>0.28924693672035728</v>
      </c>
      <c r="AT333" s="221" cm="1">
        <f t="array" ref="AT333">AT331*INDEX(LoanCohortRate,$A330)</f>
        <v>0.26911434860612032</v>
      </c>
      <c r="AU333" s="221" cm="1">
        <f t="array" ref="AU333">AU331*INDEX(LoanCohortRate,$A330)</f>
        <v>0.24867138309178882</v>
      </c>
      <c r="AV333" s="221" cm="1">
        <f t="array" ref="AV333">AV331*INDEX(LoanCohortRate,$A330)</f>
        <v>0.22791325519244471</v>
      </c>
      <c r="AW333" s="221" cm="1">
        <f t="array" ref="AW333">AW331*INDEX(LoanCohortRate,$A330)</f>
        <v>0.20683510615465239</v>
      </c>
      <c r="AX333" s="221" cm="1">
        <f t="array" ref="AX333">AX331*INDEX(LoanCohortRate,$A330)</f>
        <v>0.1854320023191941</v>
      </c>
      <c r="AY333" s="221" cm="1">
        <f t="array" ref="AY333">AY331*INDEX(LoanCohortRate,$A330)</f>
        <v>0.1636989339662725</v>
      </c>
      <c r="AZ333" s="221" cm="1">
        <f t="array" ref="AZ333">AZ331*INDEX(LoanCohortRate,$A330)</f>
        <v>0.14163081414291001</v>
      </c>
      <c r="BA333" s="221" cm="1">
        <f t="array" ref="BA333">BA331*INDEX(LoanCohortRate,$A330)</f>
        <v>0.11922247747227069</v>
      </c>
      <c r="BB333" s="221" cm="1">
        <f t="array" ref="BB333">BB331*INDEX(LoanCohortRate,$A330)</f>
        <v>9.6468678944625685E-2</v>
      </c>
      <c r="BC333" s="221" cm="1">
        <f t="array" ref="BC333">BC331*INDEX(LoanCohortRate,$A330)</f>
        <v>7.3364092689679486E-2</v>
      </c>
      <c r="BD333" s="221" cm="1">
        <f t="array" ref="BD333">BD331*INDEX(LoanCohortRate,$A330)</f>
        <v>4.9903310729969536E-2</v>
      </c>
      <c r="BE333" s="221" cm="1">
        <f t="array" ref="BE333">BE331*INDEX(LoanCohortRate,$A330)</f>
        <v>2.6080841715047383E-2</v>
      </c>
      <c r="BF333" s="221" cm="1">
        <f t="array" ref="BF333">BF331*INDEX(LoanCohortRate,$A330)</f>
        <v>1.8911096361451838E-3</v>
      </c>
      <c r="BG333" s="221" cm="1">
        <f t="array" ref="BG333">BG331*INDEX(LoanCohortRate,$A330)</f>
        <v>0</v>
      </c>
      <c r="BH333" s="221" cm="1">
        <f t="array" ref="BH333">BH331*INDEX(LoanCohortRate,$A330)</f>
        <v>0</v>
      </c>
      <c r="BI333" s="221" cm="1">
        <f t="array" ref="BI333">BI331*INDEX(LoanCohortRate,$A330)</f>
        <v>0</v>
      </c>
      <c r="BJ333" s="221" cm="1">
        <f t="array" ref="BJ333">BJ331*INDEX(LoanCohortRate,$A330)</f>
        <v>0</v>
      </c>
      <c r="BK333" s="221" cm="1">
        <f t="array" ref="BK333">BK331*INDEX(LoanCohortRate,$A330)</f>
        <v>0</v>
      </c>
    </row>
    <row r="334" spans="1:63" ht="7.8" x14ac:dyDescent="0.15">
      <c r="A334" s="218" t="s">
        <v>177</v>
      </c>
      <c r="B334" s="192"/>
      <c r="C334" s="192"/>
      <c r="D334" s="192"/>
      <c r="E334" s="192"/>
      <c r="F334" s="192"/>
      <c r="G334" s="192"/>
      <c r="H334" s="192"/>
      <c r="I334" s="192"/>
      <c r="J334" s="192"/>
      <c r="K334" s="192"/>
      <c r="L334" s="192"/>
      <c r="M334" s="192"/>
      <c r="N334" s="192"/>
      <c r="O334" s="192"/>
      <c r="P334" s="192"/>
      <c r="Q334" s="192"/>
      <c r="R334" s="192"/>
      <c r="S334" s="192"/>
      <c r="T334" s="192"/>
      <c r="U334" s="192"/>
      <c r="V334" s="192"/>
      <c r="W334" s="192"/>
      <c r="X334" s="192"/>
      <c r="Y334" s="192"/>
      <c r="Z334" s="192"/>
      <c r="AA334" s="192"/>
      <c r="AB334" s="192"/>
      <c r="AC334" s="192"/>
      <c r="AD334" s="192"/>
      <c r="AE334" s="192"/>
      <c r="AF334" s="192"/>
      <c r="AG334" s="192"/>
      <c r="AH334" s="192"/>
      <c r="AI334" s="192"/>
      <c r="AJ334" s="192"/>
      <c r="AK334" s="192"/>
      <c r="AL334" s="192"/>
      <c r="AM334" s="192"/>
      <c r="AN334" s="219">
        <f>AN332-AN333</f>
        <v>1.2097278774636584</v>
      </c>
      <c r="AO334" s="222">
        <f t="shared" ref="AO334:BK334" si="4729">AO332-AO333</f>
        <v>1.2283778489078898</v>
      </c>
      <c r="AP334" s="222">
        <f t="shared" si="4729"/>
        <v>1.24731534074522</v>
      </c>
      <c r="AQ334" s="222">
        <f t="shared" si="4729"/>
        <v>1.2665447855817087</v>
      </c>
      <c r="AR334" s="222">
        <f t="shared" si="4729"/>
        <v>1.2860706843594267</v>
      </c>
      <c r="AS334" s="222">
        <f t="shared" si="4729"/>
        <v>1.305897607409968</v>
      </c>
      <c r="AT334" s="222">
        <f t="shared" si="4729"/>
        <v>1.3260301955242049</v>
      </c>
      <c r="AU334" s="222">
        <f t="shared" si="4729"/>
        <v>1.3464731610385363</v>
      </c>
      <c r="AV334" s="222">
        <f t="shared" si="4729"/>
        <v>1.3672312889378804</v>
      </c>
      <c r="AW334" s="222">
        <f t="shared" si="4729"/>
        <v>1.3883094379756726</v>
      </c>
      <c r="AX334" s="222">
        <f t="shared" si="4729"/>
        <v>1.4097125418111309</v>
      </c>
      <c r="AY334" s="222">
        <f t="shared" si="4729"/>
        <v>1.4314456101640527</v>
      </c>
      <c r="AZ334" s="222">
        <f t="shared" si="4729"/>
        <v>1.453513729987415</v>
      </c>
      <c r="BA334" s="222">
        <f t="shared" si="4729"/>
        <v>1.4759220666580544</v>
      </c>
      <c r="BB334" s="222">
        <f t="shared" si="4729"/>
        <v>1.4986758651856995</v>
      </c>
      <c r="BC334" s="222">
        <f t="shared" si="4729"/>
        <v>1.5217804514406457</v>
      </c>
      <c r="BD334" s="222">
        <f t="shared" si="4729"/>
        <v>1.5452412334003556</v>
      </c>
      <c r="BE334" s="222">
        <f t="shared" si="4729"/>
        <v>1.5690637024152778</v>
      </c>
      <c r="BF334" s="222">
        <f t="shared" si="4729"/>
        <v>1.59325343449418</v>
      </c>
      <c r="BG334" s="222">
        <f t="shared" si="4729"/>
        <v>0</v>
      </c>
      <c r="BH334" s="222">
        <f t="shared" si="4729"/>
        <v>0</v>
      </c>
      <c r="BI334" s="222">
        <f t="shared" si="4729"/>
        <v>0</v>
      </c>
      <c r="BJ334" s="222">
        <f t="shared" si="4729"/>
        <v>0</v>
      </c>
      <c r="BK334" s="222">
        <f t="shared" si="4729"/>
        <v>0</v>
      </c>
    </row>
    <row r="335" spans="1:63" ht="7.8" x14ac:dyDescent="0.15">
      <c r="A335" s="205" t="s">
        <v>7</v>
      </c>
      <c r="B335" s="192"/>
      <c r="C335" s="192"/>
      <c r="D335" s="192"/>
      <c r="E335" s="192"/>
      <c r="F335" s="192"/>
      <c r="G335" s="192"/>
      <c r="H335" s="192"/>
      <c r="I335" s="192"/>
      <c r="J335" s="192"/>
      <c r="K335" s="192"/>
      <c r="L335" s="192"/>
      <c r="M335" s="192"/>
      <c r="N335" s="192"/>
      <c r="O335" s="192"/>
      <c r="P335" s="192"/>
      <c r="Q335" s="192"/>
      <c r="R335" s="192"/>
      <c r="S335" s="192"/>
      <c r="T335" s="192"/>
      <c r="U335" s="192"/>
      <c r="V335" s="192"/>
      <c r="W335" s="192"/>
      <c r="X335" s="192"/>
      <c r="Y335" s="192"/>
      <c r="Z335" s="192"/>
      <c r="AA335" s="192"/>
      <c r="AB335" s="192"/>
      <c r="AC335" s="192"/>
      <c r="AD335" s="192"/>
      <c r="AE335" s="192"/>
      <c r="AF335" s="192"/>
      <c r="AG335" s="192"/>
      <c r="AH335" s="192"/>
      <c r="AI335" s="192"/>
      <c r="AJ335" s="192"/>
      <c r="AK335" s="192"/>
      <c r="AL335" s="192"/>
      <c r="AM335" s="192"/>
      <c r="AN335" s="214" cm="1">
        <f t="array" ref="AN335">INDEX(LoanOriginations,$A330)</f>
        <v>119.66805248234145</v>
      </c>
      <c r="AO335" s="199">
        <f t="shared" ref="AO335:BK335" si="4730">AN335*(1-MitigateDelinquency*MitigateChargeoff)  *  IF(AO330=0,0,IF(AO330-102=LoanSaleHeld,0.6,1))</f>
        <v>119.54838442985911</v>
      </c>
      <c r="AP335" s="199">
        <f t="shared" si="4730"/>
        <v>119.42883604542925</v>
      </c>
      <c r="AQ335" s="199">
        <f t="shared" si="4730"/>
        <v>119.30940720938382</v>
      </c>
      <c r="AR335" s="199">
        <f t="shared" si="4730"/>
        <v>71.514058681304661</v>
      </c>
      <c r="AS335" s="199">
        <f t="shared" si="4730"/>
        <v>71.442544622623359</v>
      </c>
      <c r="AT335" s="199">
        <f t="shared" si="4730"/>
        <v>71.371102078000732</v>
      </c>
      <c r="AU335" s="199">
        <f t="shared" si="4730"/>
        <v>71.299730975922728</v>
      </c>
      <c r="AV335" s="199">
        <f t="shared" si="4730"/>
        <v>71.228431244946805</v>
      </c>
      <c r="AW335" s="199">
        <f t="shared" si="4730"/>
        <v>71.157202813701858</v>
      </c>
      <c r="AX335" s="199">
        <f t="shared" si="4730"/>
        <v>71.086045610888149</v>
      </c>
      <c r="AY335" s="199">
        <f t="shared" si="4730"/>
        <v>71.014959565277266</v>
      </c>
      <c r="AZ335" s="199">
        <f t="shared" si="4730"/>
        <v>70.943944605711991</v>
      </c>
      <c r="BA335" s="199">
        <f t="shared" si="4730"/>
        <v>70.873000661106275</v>
      </c>
      <c r="BB335" s="199">
        <f t="shared" si="4730"/>
        <v>70.802127660445166</v>
      </c>
      <c r="BC335" s="199">
        <f t="shared" si="4730"/>
        <v>70.731325532784723</v>
      </c>
      <c r="BD335" s="199">
        <f t="shared" si="4730"/>
        <v>70.660594207251933</v>
      </c>
      <c r="BE335" s="199">
        <f t="shared" si="4730"/>
        <v>70.589933613044678</v>
      </c>
      <c r="BF335" s="199">
        <f t="shared" si="4730"/>
        <v>70.519343679431628</v>
      </c>
      <c r="BG335" s="199">
        <f t="shared" si="4730"/>
        <v>0</v>
      </c>
      <c r="BH335" s="199">
        <f t="shared" si="4730"/>
        <v>0</v>
      </c>
      <c r="BI335" s="199">
        <f t="shared" si="4730"/>
        <v>0</v>
      </c>
      <c r="BJ335" s="199">
        <f t="shared" si="4730"/>
        <v>0</v>
      </c>
      <c r="BK335" s="199">
        <f t="shared" si="4730"/>
        <v>0</v>
      </c>
    </row>
    <row r="336" spans="1:63" ht="7.8" x14ac:dyDescent="0.15">
      <c r="A336" s="207" t="s">
        <v>96</v>
      </c>
      <c r="B336" s="192"/>
      <c r="C336" s="192"/>
      <c r="D336" s="192"/>
      <c r="E336" s="192"/>
      <c r="F336" s="192"/>
      <c r="G336" s="192"/>
      <c r="H336" s="192"/>
      <c r="I336" s="192"/>
      <c r="J336" s="192"/>
      <c r="K336" s="192"/>
      <c r="L336" s="192"/>
      <c r="M336" s="192"/>
      <c r="N336" s="192"/>
      <c r="O336" s="192"/>
      <c r="P336" s="192"/>
      <c r="Q336" s="192"/>
      <c r="R336" s="192"/>
      <c r="S336" s="192"/>
      <c r="T336" s="192"/>
      <c r="U336" s="192"/>
      <c r="V336" s="192"/>
      <c r="W336" s="192"/>
      <c r="X336" s="192"/>
      <c r="Y336" s="192"/>
      <c r="Z336" s="192"/>
      <c r="AA336" s="192"/>
      <c r="AB336" s="192"/>
      <c r="AC336" s="192"/>
      <c r="AD336" s="192"/>
      <c r="AE336" s="192"/>
      <c r="AF336" s="192"/>
      <c r="AG336" s="192"/>
      <c r="AH336" s="192"/>
      <c r="AI336" s="192"/>
      <c r="AJ336" s="192"/>
      <c r="AK336" s="192"/>
      <c r="AL336" s="192"/>
      <c r="AM336" s="192"/>
      <c r="AN336" s="223">
        <f>AN333*AN335</f>
        <v>46.12206189423577</v>
      </c>
      <c r="AO336" s="200">
        <f t="shared" ref="AO336" si="4731">AO333*AO335</f>
        <v>43.846365876520665</v>
      </c>
      <c r="AP336" s="200">
        <f t="shared" ref="AP336" si="4732">AP333*AP335</f>
        <v>41.540836902892003</v>
      </c>
      <c r="AQ336" s="200">
        <f t="shared" ref="AQ336" si="4733">AQ333*AQ335</f>
        <v>39.205042401582084</v>
      </c>
      <c r="AR336" s="200">
        <f t="shared" ref="AR336" si="4734">AR333*AR335</f>
        <v>22.103126144513361</v>
      </c>
      <c r="AS336" s="200">
        <f t="shared" ref="AS336" si="4735">AS333*AS335</f>
        <v>20.66453718360124</v>
      </c>
      <c r="AT336" s="200">
        <f t="shared" ref="AT336" si="4736">AT333*AT335</f>
        <v>19.206987645022089</v>
      </c>
      <c r="AU336" s="200">
        <f t="shared" ref="AU336" si="4737">AU333*AU335</f>
        <v>17.730202715855164</v>
      </c>
      <c r="AV336" s="200">
        <f t="shared" ref="AV336" si="4738">AV333*AV335</f>
        <v>16.233903627287063</v>
      </c>
      <c r="AW336" s="200">
        <f t="shared" ref="AW336" si="4739">AW333*AW335</f>
        <v>14.717807597640153</v>
      </c>
      <c r="AX336" s="200">
        <f t="shared" ref="AX336" si="4740">AX333*AX335</f>
        <v>13.18162777458055</v>
      </c>
      <c r="AY336" s="200">
        <f t="shared" ref="AY336" si="4741">AY333*AY335</f>
        <v>11.625073176493835</v>
      </c>
      <c r="AZ336" s="200">
        <f t="shared" ref="AZ336" si="4742">AZ333*AZ335</f>
        <v>10.047848633016498</v>
      </c>
      <c r="BA336" s="200">
        <f t="shared" ref="BA336" si="4743">BA333*BA335</f>
        <v>8.4496547247109692</v>
      </c>
      <c r="BB336" s="200">
        <f t="shared" ref="BB336" si="4744">BB333*BB335</f>
        <v>6.8301877218718863</v>
      </c>
      <c r="BC336" s="200">
        <f t="shared" ref="BC336" si="4745">BC333*BC335</f>
        <v>5.1891395224511117</v>
      </c>
      <c r="BD336" s="200">
        <f t="shared" ref="BD336" si="4746">BD333*BD335</f>
        <v>3.5261975890887785</v>
      </c>
      <c r="BE336" s="200">
        <f t="shared" ref="BE336" si="4747">BE333*BE335</f>
        <v>1.841044885237521</v>
      </c>
      <c r="BF336" s="200">
        <f t="shared" ref="BF336" si="4748">BF333*BF335</f>
        <v>0.13335981036680711</v>
      </c>
      <c r="BG336" s="200">
        <f t="shared" ref="BG336" si="4749">BG333*BG335</f>
        <v>0</v>
      </c>
      <c r="BH336" s="200">
        <f t="shared" ref="BH336" si="4750">BH333*BH335</f>
        <v>0</v>
      </c>
      <c r="BI336" s="200">
        <f t="shared" ref="BI336" si="4751">BI333*BI335</f>
        <v>0</v>
      </c>
      <c r="BJ336" s="200">
        <f t="shared" ref="BJ336" si="4752">BJ333*BJ335</f>
        <v>0</v>
      </c>
      <c r="BK336" s="200">
        <f t="shared" ref="BK336" si="4753">BK333*BK335</f>
        <v>0</v>
      </c>
    </row>
    <row r="337" spans="1:63" ht="7.8" x14ac:dyDescent="0.15">
      <c r="A337" s="206" t="s">
        <v>97</v>
      </c>
      <c r="B337" s="192"/>
      <c r="C337" s="192"/>
      <c r="D337" s="192"/>
      <c r="E337" s="192"/>
      <c r="F337" s="192"/>
      <c r="G337" s="192"/>
      <c r="H337" s="192"/>
      <c r="I337" s="192"/>
      <c r="J337" s="192"/>
      <c r="K337" s="192"/>
      <c r="L337" s="192"/>
      <c r="M337" s="192"/>
      <c r="N337" s="192"/>
      <c r="O337" s="192"/>
      <c r="P337" s="192"/>
      <c r="Q337" s="192"/>
      <c r="R337" s="192"/>
      <c r="S337" s="192"/>
      <c r="T337" s="192"/>
      <c r="U337" s="192"/>
      <c r="V337" s="192"/>
      <c r="W337" s="192"/>
      <c r="X337" s="192"/>
      <c r="Y337" s="192"/>
      <c r="Z337" s="192"/>
      <c r="AA337" s="192"/>
      <c r="AB337" s="192"/>
      <c r="AC337" s="192"/>
      <c r="AD337" s="192"/>
      <c r="AE337" s="192"/>
      <c r="AF337" s="192"/>
      <c r="AG337" s="192"/>
      <c r="AH337" s="192"/>
      <c r="AI337" s="192"/>
      <c r="AJ337" s="192"/>
      <c r="AK337" s="192"/>
      <c r="AL337" s="192"/>
      <c r="AM337" s="192"/>
      <c r="AN337" s="223">
        <f>AN334*AN335</f>
        <v>144.76577912967261</v>
      </c>
      <c r="AO337" s="200">
        <f>AO334*AO335</f>
        <v>146.85058730636379</v>
      </c>
      <c r="AP337" s="200">
        <f t="shared" ref="AP337:BK337" si="4754">AP334*AP335</f>
        <v>148.96541932680961</v>
      </c>
      <c r="AQ337" s="200">
        <f t="shared" si="4754"/>
        <v>151.1107075718898</v>
      </c>
      <c r="AR337" s="200">
        <f t="shared" si="4754"/>
        <v>91.97213438958569</v>
      </c>
      <c r="AS337" s="200">
        <f t="shared" si="4754"/>
        <v>93.296648089963711</v>
      </c>
      <c r="AT337" s="200">
        <f t="shared" si="4754"/>
        <v>94.640236443269288</v>
      </c>
      <c r="AU337" s="200">
        <f t="shared" si="4754"/>
        <v>96.003174148347924</v>
      </c>
      <c r="AV337" s="200">
        <f t="shared" si="4754"/>
        <v>97.385739860051814</v>
      </c>
      <c r="AW337" s="200">
        <f t="shared" si="4754"/>
        <v>98.788216246211377</v>
      </c>
      <c r="AX337" s="200">
        <f t="shared" si="4754"/>
        <v>100.21089004542712</v>
      </c>
      <c r="AY337" s="200">
        <f t="shared" si="4754"/>
        <v>101.65405212569385</v>
      </c>
      <c r="AZ337" s="200">
        <f t="shared" si="4754"/>
        <v>103.11799754386898</v>
      </c>
      <c r="BA337" s="200">
        <f t="shared" si="4754"/>
        <v>104.60302560599763</v>
      </c>
      <c r="BB337" s="200">
        <f t="shared" si="4754"/>
        <v>106.10943992850601</v>
      </c>
      <c r="BC337" s="200">
        <f t="shared" si="4754"/>
        <v>107.63754850027641</v>
      </c>
      <c r="BD337" s="200">
        <f t="shared" si="4754"/>
        <v>109.18766374561599</v>
      </c>
      <c r="BE337" s="200">
        <f t="shared" si="4754"/>
        <v>110.76010258813255</v>
      </c>
      <c r="BF337" s="200">
        <f t="shared" si="4754"/>
        <v>112.35518651552988</v>
      </c>
      <c r="BG337" s="200">
        <f t="shared" si="4754"/>
        <v>0</v>
      </c>
      <c r="BH337" s="200">
        <f t="shared" si="4754"/>
        <v>0</v>
      </c>
      <c r="BI337" s="200">
        <f t="shared" si="4754"/>
        <v>0</v>
      </c>
      <c r="BJ337" s="200">
        <f t="shared" si="4754"/>
        <v>0</v>
      </c>
      <c r="BK337" s="200">
        <f t="shared" si="4754"/>
        <v>0</v>
      </c>
    </row>
    <row r="338" spans="1:63" ht="7.8" x14ac:dyDescent="0.15">
      <c r="A338" s="208" t="s">
        <v>203</v>
      </c>
      <c r="B338" s="192"/>
      <c r="C338" s="192"/>
      <c r="D338" s="192"/>
      <c r="E338" s="192"/>
      <c r="F338" s="192"/>
      <c r="G338" s="192"/>
      <c r="H338" s="192"/>
      <c r="I338" s="192"/>
      <c r="J338" s="192"/>
      <c r="K338" s="192"/>
      <c r="L338" s="192"/>
      <c r="M338" s="192"/>
      <c r="N338" s="192"/>
      <c r="O338" s="192"/>
      <c r="P338" s="192"/>
      <c r="Q338" s="192"/>
      <c r="R338" s="192"/>
      <c r="S338" s="192"/>
      <c r="T338" s="192"/>
      <c r="U338" s="192"/>
      <c r="V338" s="192"/>
      <c r="W338" s="192"/>
      <c r="X338" s="192"/>
      <c r="Y338" s="192"/>
      <c r="Z338" s="192"/>
      <c r="AA338" s="192"/>
      <c r="AB338" s="192"/>
      <c r="AC338" s="192"/>
      <c r="AD338" s="192"/>
      <c r="AE338" s="192"/>
      <c r="AF338" s="192"/>
      <c r="AG338" s="192"/>
      <c r="AH338" s="192"/>
      <c r="AI338" s="192"/>
      <c r="AJ338" s="192"/>
      <c r="AK338" s="192"/>
      <c r="AL338" s="192"/>
      <c r="AM338" s="192"/>
      <c r="AN338" s="224">
        <f>IF(AN330-101&lt;&gt;LoanSaleHeld,0,SUM($D337:AN337)*LoanSalePercent)</f>
        <v>0</v>
      </c>
      <c r="AO338" s="225">
        <f>IF(AO330-101&lt;&gt;LoanSaleHeld,0,SUM($D337:AO337)*LoanSalePercent)</f>
        <v>0</v>
      </c>
      <c r="AP338" s="225">
        <f>IF(AP330-101&lt;&gt;LoanSaleHeld,0,SUM($D337:AP337)*LoanSalePercent)</f>
        <v>0</v>
      </c>
      <c r="AQ338" s="225">
        <f>IF(AQ330-101&lt;&gt;LoanSaleHeld,0,SUM($D337:AQ337)*LoanSalePercent)</f>
        <v>236.67699733389438</v>
      </c>
      <c r="AR338" s="225">
        <f>IF(AR330-101&lt;&gt;LoanSaleHeld,0,SUM($D337:AR337)*LoanSalePercent)</f>
        <v>0</v>
      </c>
      <c r="AS338" s="225">
        <f>IF(AS330-101&lt;&gt;LoanSaleHeld,0,SUM($D337:AS337)*LoanSalePercent)</f>
        <v>0</v>
      </c>
      <c r="AT338" s="225">
        <f>IF(AT330-101&lt;&gt;LoanSaleHeld,0,SUM($D337:AT337)*LoanSalePercent)</f>
        <v>0</v>
      </c>
      <c r="AU338" s="225">
        <f>IF(AU330-101&lt;&gt;LoanSaleHeld,0,SUM($D337:AU337)*LoanSalePercent)</f>
        <v>0</v>
      </c>
      <c r="AV338" s="225">
        <f>IF(AV330-101&lt;&gt;LoanSaleHeld,0,SUM($D337:AV337)*LoanSalePercent)</f>
        <v>0</v>
      </c>
      <c r="AW338" s="225">
        <f>IF(AW330-101&lt;&gt;LoanSaleHeld,0,SUM($D337:AW337)*LoanSalePercent)</f>
        <v>0</v>
      </c>
      <c r="AX338" s="225">
        <f>IF(AX330-101&lt;&gt;LoanSaleHeld,0,SUM($D337:AX337)*LoanSalePercent)</f>
        <v>0</v>
      </c>
      <c r="AY338" s="225">
        <f>IF(AY330-101&lt;&gt;LoanSaleHeld,0,SUM($D337:AY337)*LoanSalePercent)</f>
        <v>0</v>
      </c>
      <c r="AZ338" s="225">
        <f>IF(AZ330-101&lt;&gt;LoanSaleHeld,0,SUM($D337:AZ337)*LoanSalePercent)</f>
        <v>0</v>
      </c>
      <c r="BA338" s="225">
        <f>IF(BA330-101&lt;&gt;LoanSaleHeld,0,SUM($D337:BA337)*LoanSalePercent)</f>
        <v>0</v>
      </c>
      <c r="BB338" s="225">
        <f>IF(BB330-101&lt;&gt;LoanSaleHeld,0,SUM($D337:BB337)*LoanSalePercent)</f>
        <v>0</v>
      </c>
      <c r="BC338" s="225">
        <f>IF(BC330-101&lt;&gt;LoanSaleHeld,0,SUM($D337:BC337)*LoanSalePercent)</f>
        <v>0</v>
      </c>
      <c r="BD338" s="225">
        <f>IF(BD330-101&lt;&gt;LoanSaleHeld,0,SUM($D337:BD337)*LoanSalePercent)</f>
        <v>0</v>
      </c>
      <c r="BE338" s="225">
        <f>IF(BE330-101&lt;&gt;LoanSaleHeld,0,SUM($D337:BE337)*LoanSalePercent)</f>
        <v>0</v>
      </c>
      <c r="BF338" s="225">
        <f>IF(BF330-101&lt;&gt;LoanSaleHeld,0,SUM($D337:BF337)*LoanSalePercent)</f>
        <v>0</v>
      </c>
      <c r="BG338" s="225">
        <f>IF(BG330-101&lt;&gt;LoanSaleHeld,0,SUM($D337:BG337)*LoanSalePercent)</f>
        <v>0</v>
      </c>
      <c r="BH338" s="225">
        <f>IF(BH330-101&lt;&gt;LoanSaleHeld,0,SUM($D337:BH337)*LoanSalePercent)</f>
        <v>0</v>
      </c>
      <c r="BI338" s="225">
        <f>IF(BI330-101&lt;&gt;LoanSaleHeld,0,SUM($D337:BI337)*LoanSalePercent)</f>
        <v>0</v>
      </c>
      <c r="BJ338" s="225">
        <f>IF(BJ330-101&lt;&gt;LoanSaleHeld,0,SUM($D337:BJ337)*LoanSalePercent)</f>
        <v>0</v>
      </c>
      <c r="BK338" s="225">
        <f>IF(BK330-101&lt;&gt;LoanSaleHeld,0,SUM($D337:BK337)*LoanSalePercent)</f>
        <v>0</v>
      </c>
    </row>
    <row r="339" spans="1:63" ht="7.8" x14ac:dyDescent="0.15">
      <c r="A339" s="204">
        <f t="shared" ref="A339" si="4755">A330+1</f>
        <v>38</v>
      </c>
      <c r="B339" s="192"/>
      <c r="C339" s="192"/>
      <c r="D339" s="192"/>
      <c r="E339" s="192"/>
      <c r="F339" s="192"/>
      <c r="G339" s="192"/>
      <c r="H339" s="192"/>
      <c r="I339" s="192"/>
      <c r="J339" s="192"/>
      <c r="K339" s="192"/>
      <c r="L339" s="192"/>
      <c r="M339" s="192"/>
      <c r="N339" s="192"/>
      <c r="O339" s="192"/>
      <c r="P339" s="192"/>
      <c r="Q339" s="192"/>
      <c r="R339" s="192"/>
      <c r="S339" s="192"/>
      <c r="T339" s="192"/>
      <c r="U339" s="192"/>
      <c r="V339" s="192"/>
      <c r="W339" s="192"/>
      <c r="X339" s="192"/>
      <c r="Y339" s="192"/>
      <c r="Z339" s="192"/>
      <c r="AA339" s="192"/>
      <c r="AB339" s="192"/>
      <c r="AC339" s="192"/>
      <c r="AD339" s="192"/>
      <c r="AE339" s="192"/>
      <c r="AF339" s="192"/>
      <c r="AG339" s="192"/>
      <c r="AH339" s="192"/>
      <c r="AI339" s="192"/>
      <c r="AJ339" s="192"/>
      <c r="AK339" s="192"/>
      <c r="AL339" s="192"/>
      <c r="AM339" s="192"/>
      <c r="AN339" s="192"/>
      <c r="AO339" s="195">
        <v>101</v>
      </c>
      <c r="AP339" s="196">
        <f t="shared" ref="AP339" si="4756">IF(AP340=0,0,AO339+1)</f>
        <v>102</v>
      </c>
      <c r="AQ339" s="196">
        <f t="shared" ref="AQ339" si="4757">IF(AQ340=0,0,AP339+1)</f>
        <v>103</v>
      </c>
      <c r="AR339" s="196">
        <f t="shared" ref="AR339" si="4758">IF(AR340=0,0,AQ339+1)</f>
        <v>104</v>
      </c>
      <c r="AS339" s="196">
        <f t="shared" ref="AS339" si="4759">IF(AS340=0,0,AR339+1)</f>
        <v>105</v>
      </c>
      <c r="AT339" s="196">
        <f t="shared" ref="AT339" si="4760">IF(AT340=0,0,AS339+1)</f>
        <v>106</v>
      </c>
      <c r="AU339" s="196">
        <f t="shared" ref="AU339" si="4761">IF(AU340=0,0,AT339+1)</f>
        <v>107</v>
      </c>
      <c r="AV339" s="196">
        <f t="shared" ref="AV339" si="4762">IF(AV340=0,0,AU339+1)</f>
        <v>108</v>
      </c>
      <c r="AW339" s="196">
        <f t="shared" ref="AW339" si="4763">IF(AW340=0,0,AV339+1)</f>
        <v>109</v>
      </c>
      <c r="AX339" s="196">
        <f t="shared" ref="AX339" si="4764">IF(AX340=0,0,AW339+1)</f>
        <v>110</v>
      </c>
      <c r="AY339" s="196">
        <f t="shared" ref="AY339" si="4765">IF(AY340=0,0,AX339+1)</f>
        <v>111</v>
      </c>
      <c r="AZ339" s="196">
        <f t="shared" ref="AZ339" si="4766">IF(AZ340=0,0,AY339+1)</f>
        <v>112</v>
      </c>
      <c r="BA339" s="196">
        <f t="shared" ref="BA339" si="4767">IF(BA340=0,0,AZ339+1)</f>
        <v>113</v>
      </c>
      <c r="BB339" s="196">
        <f t="shared" ref="BB339" si="4768">IF(BB340=0,0,BA339+1)</f>
        <v>114</v>
      </c>
      <c r="BC339" s="196">
        <f t="shared" ref="BC339" si="4769">IF(BC340=0,0,BB339+1)</f>
        <v>115</v>
      </c>
      <c r="BD339" s="196">
        <f t="shared" ref="BD339" si="4770">IF(BD340=0,0,BC339+1)</f>
        <v>116</v>
      </c>
      <c r="BE339" s="196">
        <f t="shared" ref="BE339" si="4771">IF(BE340=0,0,BD339+1)</f>
        <v>117</v>
      </c>
      <c r="BF339" s="196">
        <f t="shared" ref="BF339" si="4772">IF(BF340=0,0,BE339+1)</f>
        <v>118</v>
      </c>
      <c r="BG339" s="196">
        <f t="shared" ref="BG339" si="4773">IF(BG340=0,0,BF339+1)</f>
        <v>119</v>
      </c>
      <c r="BH339" s="196">
        <f t="shared" ref="BH339" si="4774">IF(BH340=0,0,BG339+1)</f>
        <v>0</v>
      </c>
      <c r="BI339" s="196">
        <f t="shared" ref="BI339" si="4775">IF(BI340=0,0,BH339+1)</f>
        <v>0</v>
      </c>
      <c r="BJ339" s="196">
        <f t="shared" ref="BJ339" si="4776">IF(BJ340=0,0,BI339+1)</f>
        <v>0</v>
      </c>
      <c r="BK339" s="196">
        <f t="shared" ref="BK339" si="4777">IF(BK340=0,0,BJ339+1)</f>
        <v>0</v>
      </c>
    </row>
    <row r="340" spans="1:63" ht="7.8" x14ac:dyDescent="0.15">
      <c r="A340" s="216" t="s">
        <v>178</v>
      </c>
      <c r="B340" s="192"/>
      <c r="C340" s="192"/>
      <c r="D340" s="192"/>
      <c r="E340" s="192"/>
      <c r="F340" s="192"/>
      <c r="G340" s="192"/>
      <c r="H340" s="192"/>
      <c r="I340" s="192"/>
      <c r="J340" s="192"/>
      <c r="K340" s="192"/>
      <c r="L340" s="192"/>
      <c r="M340" s="192"/>
      <c r="N340" s="192"/>
      <c r="O340" s="192"/>
      <c r="P340" s="192"/>
      <c r="Q340" s="192"/>
      <c r="R340" s="192"/>
      <c r="S340" s="192"/>
      <c r="T340" s="192"/>
      <c r="U340" s="192"/>
      <c r="V340" s="192"/>
      <c r="W340" s="192"/>
      <c r="X340" s="192"/>
      <c r="Y340" s="192"/>
      <c r="Z340" s="192"/>
      <c r="AA340" s="192"/>
      <c r="AB340" s="192"/>
      <c r="AC340" s="192"/>
      <c r="AD340" s="192"/>
      <c r="AE340" s="192"/>
      <c r="AF340" s="192"/>
      <c r="AG340" s="192"/>
      <c r="AH340" s="192"/>
      <c r="AI340" s="192"/>
      <c r="AJ340" s="192"/>
      <c r="AK340" s="192"/>
      <c r="AL340" s="192"/>
      <c r="AM340" s="192"/>
      <c r="AN340" s="192"/>
      <c r="AO340" s="217">
        <f>LoanSize</f>
        <v>25</v>
      </c>
      <c r="AP340" s="215">
        <f>IF(AO340-AO343&lt;=0.1,0,AO340-AO343)</f>
        <v>23.79027212253634</v>
      </c>
      <c r="AQ340" s="215">
        <f t="shared" ref="AQ340:BK340" si="4778">IF(AP340-AP343&lt;=0.1,0,AP340-AP343)</f>
        <v>22.56189427362845</v>
      </c>
      <c r="AR340" s="215">
        <f t="shared" si="4778"/>
        <v>21.314578932883229</v>
      </c>
      <c r="AS340" s="215">
        <f t="shared" si="4778"/>
        <v>20.048034147301522</v>
      </c>
      <c r="AT340" s="215">
        <f t="shared" si="4778"/>
        <v>18.761963462942095</v>
      </c>
      <c r="AU340" s="215">
        <f t="shared" si="4778"/>
        <v>17.456065855532128</v>
      </c>
      <c r="AV340" s="215">
        <f t="shared" si="4778"/>
        <v>16.130035660007923</v>
      </c>
      <c r="AW340" s="215">
        <f t="shared" si="4778"/>
        <v>14.783562498969387</v>
      </c>
      <c r="AX340" s="215">
        <f t="shared" si="4778"/>
        <v>13.416331210031506</v>
      </c>
      <c r="AY340" s="215">
        <f t="shared" si="4778"/>
        <v>12.028021772055833</v>
      </c>
      <c r="AZ340" s="215">
        <f t="shared" si="4778"/>
        <v>10.618309230244702</v>
      </c>
      <c r="BA340" s="215">
        <f t="shared" si="4778"/>
        <v>9.1868636200806488</v>
      </c>
      <c r="BB340" s="215">
        <f t="shared" si="4778"/>
        <v>7.7333498900932334</v>
      </c>
      <c r="BC340" s="215">
        <f t="shared" si="4778"/>
        <v>6.2574278234351794</v>
      </c>
      <c r="BD340" s="215">
        <f t="shared" si="4778"/>
        <v>4.7587519582494799</v>
      </c>
      <c r="BE340" s="215">
        <f t="shared" si="4778"/>
        <v>3.2369715068088345</v>
      </c>
      <c r="BF340" s="215">
        <f t="shared" si="4778"/>
        <v>1.6917302734084789</v>
      </c>
      <c r="BG340" s="215">
        <f t="shared" si="4778"/>
        <v>0.12266657099320111</v>
      </c>
      <c r="BH340" s="215">
        <f t="shared" si="4778"/>
        <v>0</v>
      </c>
      <c r="BI340" s="215">
        <f t="shared" si="4778"/>
        <v>0</v>
      </c>
      <c r="BJ340" s="215">
        <f t="shared" si="4778"/>
        <v>0</v>
      </c>
      <c r="BK340" s="215">
        <f t="shared" si="4778"/>
        <v>0</v>
      </c>
    </row>
    <row r="341" spans="1:63" ht="7.8" x14ac:dyDescent="0.15">
      <c r="A341" s="218" t="s">
        <v>179</v>
      </c>
      <c r="B341" s="192"/>
      <c r="C341" s="192"/>
      <c r="D341" s="192"/>
      <c r="E341" s="192"/>
      <c r="F341" s="192"/>
      <c r="G341" s="192"/>
      <c r="H341" s="192"/>
      <c r="I341" s="192"/>
      <c r="J341" s="192"/>
      <c r="K341" s="192"/>
      <c r="L341" s="192"/>
      <c r="M341" s="192"/>
      <c r="N341" s="192"/>
      <c r="O341" s="192"/>
      <c r="P341" s="192"/>
      <c r="Q341" s="192"/>
      <c r="R341" s="192"/>
      <c r="S341" s="192"/>
      <c r="T341" s="192"/>
      <c r="U341" s="192"/>
      <c r="V341" s="192"/>
      <c r="W341" s="192"/>
      <c r="X341" s="192"/>
      <c r="Y341" s="192"/>
      <c r="Z341" s="192"/>
      <c r="AA341" s="192"/>
      <c r="AB341" s="192"/>
      <c r="AC341" s="192"/>
      <c r="AD341" s="192"/>
      <c r="AE341" s="192"/>
      <c r="AF341" s="192"/>
      <c r="AG341" s="192"/>
      <c r="AH341" s="192"/>
      <c r="AI341" s="192"/>
      <c r="AJ341" s="192"/>
      <c r="AK341" s="192"/>
      <c r="AL341" s="192"/>
      <c r="AM341" s="192"/>
      <c r="AN341" s="192"/>
      <c r="AO341" s="219">
        <f>IF(AO340=0,0,PMT(INDEX(LoanCohortRate,1),LoanTerm, -LoanSize))</f>
        <v>1.5951445441303251</v>
      </c>
      <c r="AP341" s="222">
        <f t="shared" ref="AP341" si="4779">IF(AP340=0,0, AO341)</f>
        <v>1.5951445441303251</v>
      </c>
      <c r="AQ341" s="222">
        <f t="shared" ref="AQ341" si="4780">IF(AQ340=0,0, AP341)</f>
        <v>1.5951445441303251</v>
      </c>
      <c r="AR341" s="222">
        <f t="shared" ref="AR341" si="4781">IF(AR340=0,0, AQ341)</f>
        <v>1.5951445441303251</v>
      </c>
      <c r="AS341" s="222">
        <f t="shared" ref="AS341" si="4782">IF(AS340=0,0, AR341)</f>
        <v>1.5951445441303251</v>
      </c>
      <c r="AT341" s="222">
        <f t="shared" ref="AT341" si="4783">IF(AT340=0,0, AS341)</f>
        <v>1.5951445441303251</v>
      </c>
      <c r="AU341" s="222">
        <f t="shared" ref="AU341" si="4784">IF(AU340=0,0, AT341)</f>
        <v>1.5951445441303251</v>
      </c>
      <c r="AV341" s="222">
        <f t="shared" ref="AV341" si="4785">IF(AV340=0,0, AU341)</f>
        <v>1.5951445441303251</v>
      </c>
      <c r="AW341" s="222">
        <f t="shared" ref="AW341" si="4786">IF(AW340=0,0, AV341)</f>
        <v>1.5951445441303251</v>
      </c>
      <c r="AX341" s="222">
        <f t="shared" ref="AX341" si="4787">IF(AX340=0,0, AW341)</f>
        <v>1.5951445441303251</v>
      </c>
      <c r="AY341" s="222">
        <f t="shared" ref="AY341" si="4788">IF(AY340=0,0, AX341)</f>
        <v>1.5951445441303251</v>
      </c>
      <c r="AZ341" s="222">
        <f t="shared" ref="AZ341" si="4789">IF(AZ340=0,0, AY341)</f>
        <v>1.5951445441303251</v>
      </c>
      <c r="BA341" s="222">
        <f t="shared" ref="BA341" si="4790">IF(BA340=0,0, AZ341)</f>
        <v>1.5951445441303251</v>
      </c>
      <c r="BB341" s="222">
        <f t="shared" ref="BB341" si="4791">IF(BB340=0,0, BA341)</f>
        <v>1.5951445441303251</v>
      </c>
      <c r="BC341" s="222">
        <f t="shared" ref="BC341" si="4792">IF(BC340=0,0, BB341)</f>
        <v>1.5951445441303251</v>
      </c>
      <c r="BD341" s="222">
        <f t="shared" ref="BD341" si="4793">IF(BD340=0,0, BC341)</f>
        <v>1.5951445441303251</v>
      </c>
      <c r="BE341" s="222">
        <f t="shared" ref="BE341" si="4794">IF(BE340=0,0, BD341)</f>
        <v>1.5951445441303251</v>
      </c>
      <c r="BF341" s="222">
        <f t="shared" ref="BF341" si="4795">IF(BF340=0,0, BE341)</f>
        <v>1.5951445441303251</v>
      </c>
      <c r="BG341" s="222">
        <f t="shared" ref="BG341" si="4796">IF(BG340=0,0, BF341)</f>
        <v>1.5951445441303251</v>
      </c>
      <c r="BH341" s="222">
        <f t="shared" ref="BH341" si="4797">IF(BH340=0,0, BG341)</f>
        <v>0</v>
      </c>
      <c r="BI341" s="222">
        <f t="shared" ref="BI341" si="4798">IF(BI340=0,0, BH341)</f>
        <v>0</v>
      </c>
      <c r="BJ341" s="222">
        <f t="shared" ref="BJ341" si="4799">IF(BJ340=0,0, BI341)</f>
        <v>0</v>
      </c>
      <c r="BK341" s="222">
        <f t="shared" ref="BK341" si="4800">IF(BK340=0,0, BJ341)</f>
        <v>0</v>
      </c>
    </row>
    <row r="342" spans="1:63" ht="7.8" x14ac:dyDescent="0.15">
      <c r="A342" s="218" t="s">
        <v>180</v>
      </c>
      <c r="B342" s="192"/>
      <c r="C342" s="192"/>
      <c r="D342" s="192"/>
      <c r="E342" s="192"/>
      <c r="F342" s="192"/>
      <c r="G342" s="192"/>
      <c r="H342" s="192"/>
      <c r="I342" s="192"/>
      <c r="J342" s="192"/>
      <c r="K342" s="192"/>
      <c r="L342" s="192"/>
      <c r="M342" s="192"/>
      <c r="N342" s="192"/>
      <c r="O342" s="192"/>
      <c r="P342" s="192"/>
      <c r="Q342" s="192"/>
      <c r="R342" s="192"/>
      <c r="S342" s="192"/>
      <c r="T342" s="192"/>
      <c r="U342" s="192"/>
      <c r="V342" s="192"/>
      <c r="W342" s="192"/>
      <c r="X342" s="192"/>
      <c r="Y342" s="192"/>
      <c r="Z342" s="192"/>
      <c r="AA342" s="192"/>
      <c r="AB342" s="192"/>
      <c r="AC342" s="192"/>
      <c r="AD342" s="192"/>
      <c r="AE342" s="192"/>
      <c r="AF342" s="192"/>
      <c r="AG342" s="192"/>
      <c r="AH342" s="192"/>
      <c r="AI342" s="192"/>
      <c r="AJ342" s="192"/>
      <c r="AK342" s="192"/>
      <c r="AL342" s="192"/>
      <c r="AM342" s="192"/>
      <c r="AN342" s="192"/>
      <c r="AO342" s="220" cm="1">
        <f t="array" ref="AO342">AO340*INDEX(LoanCohortRate,$A339)</f>
        <v>0.38541666666666669</v>
      </c>
      <c r="AP342" s="221" cm="1">
        <f t="array" ref="AP342">AP340*INDEX(LoanCohortRate,$A339)</f>
        <v>0.36676669522243527</v>
      </c>
      <c r="AQ342" s="221" cm="1">
        <f t="array" ref="AQ342">AQ340*INDEX(LoanCohortRate,$A339)</f>
        <v>0.34782920338510526</v>
      </c>
      <c r="AR342" s="221" cm="1">
        <f t="array" ref="AR342">AR340*INDEX(LoanCohortRate,$A339)</f>
        <v>0.32859975854861645</v>
      </c>
      <c r="AS342" s="221" cm="1">
        <f t="array" ref="AS342">AS340*INDEX(LoanCohortRate,$A339)</f>
        <v>0.30907385977089846</v>
      </c>
      <c r="AT342" s="221" cm="1">
        <f t="array" ref="AT342">AT340*INDEX(LoanCohortRate,$A339)</f>
        <v>0.28924693672035728</v>
      </c>
      <c r="AU342" s="221" cm="1">
        <f t="array" ref="AU342">AU340*INDEX(LoanCohortRate,$A339)</f>
        <v>0.26911434860612032</v>
      </c>
      <c r="AV342" s="221" cm="1">
        <f t="array" ref="AV342">AV340*INDEX(LoanCohortRate,$A339)</f>
        <v>0.24867138309178882</v>
      </c>
      <c r="AW342" s="221" cm="1">
        <f t="array" ref="AW342">AW340*INDEX(LoanCohortRate,$A339)</f>
        <v>0.22791325519244471</v>
      </c>
      <c r="AX342" s="221" cm="1">
        <f t="array" ref="AX342">AX340*INDEX(LoanCohortRate,$A339)</f>
        <v>0.20683510615465239</v>
      </c>
      <c r="AY342" s="221" cm="1">
        <f t="array" ref="AY342">AY340*INDEX(LoanCohortRate,$A339)</f>
        <v>0.1854320023191941</v>
      </c>
      <c r="AZ342" s="221" cm="1">
        <f t="array" ref="AZ342">AZ340*INDEX(LoanCohortRate,$A339)</f>
        <v>0.1636989339662725</v>
      </c>
      <c r="BA342" s="221" cm="1">
        <f t="array" ref="BA342">BA340*INDEX(LoanCohortRate,$A339)</f>
        <v>0.14163081414291001</v>
      </c>
      <c r="BB342" s="221" cm="1">
        <f t="array" ref="BB342">BB340*INDEX(LoanCohortRate,$A339)</f>
        <v>0.11922247747227069</v>
      </c>
      <c r="BC342" s="221" cm="1">
        <f t="array" ref="BC342">BC340*INDEX(LoanCohortRate,$A339)</f>
        <v>9.6468678944625685E-2</v>
      </c>
      <c r="BD342" s="221" cm="1">
        <f t="array" ref="BD342">BD340*INDEX(LoanCohortRate,$A339)</f>
        <v>7.3364092689679486E-2</v>
      </c>
      <c r="BE342" s="221" cm="1">
        <f t="array" ref="BE342">BE340*INDEX(LoanCohortRate,$A339)</f>
        <v>4.9903310729969536E-2</v>
      </c>
      <c r="BF342" s="221" cm="1">
        <f t="array" ref="BF342">BF340*INDEX(LoanCohortRate,$A339)</f>
        <v>2.6080841715047383E-2</v>
      </c>
      <c r="BG342" s="221" cm="1">
        <f t="array" ref="BG342">BG340*INDEX(LoanCohortRate,$A339)</f>
        <v>1.8911096361451838E-3</v>
      </c>
      <c r="BH342" s="221" cm="1">
        <f t="array" ref="BH342">BH340*INDEX(LoanCohortRate,$A339)</f>
        <v>0</v>
      </c>
      <c r="BI342" s="221" cm="1">
        <f t="array" ref="BI342">BI340*INDEX(LoanCohortRate,$A339)</f>
        <v>0</v>
      </c>
      <c r="BJ342" s="221" cm="1">
        <f t="array" ref="BJ342">BJ340*INDEX(LoanCohortRate,$A339)</f>
        <v>0</v>
      </c>
      <c r="BK342" s="221" cm="1">
        <f t="array" ref="BK342">BK340*INDEX(LoanCohortRate,$A339)</f>
        <v>0</v>
      </c>
    </row>
    <row r="343" spans="1:63" ht="7.8" x14ac:dyDescent="0.15">
      <c r="A343" s="218" t="s">
        <v>177</v>
      </c>
      <c r="B343" s="192"/>
      <c r="C343" s="192"/>
      <c r="D343" s="192"/>
      <c r="E343" s="192"/>
      <c r="F343" s="192"/>
      <c r="G343" s="192"/>
      <c r="H343" s="192"/>
      <c r="I343" s="192"/>
      <c r="J343" s="192"/>
      <c r="K343" s="192"/>
      <c r="L343" s="192"/>
      <c r="M343" s="192"/>
      <c r="N343" s="192"/>
      <c r="O343" s="192"/>
      <c r="P343" s="192"/>
      <c r="Q343" s="192"/>
      <c r="R343" s="192"/>
      <c r="S343" s="192"/>
      <c r="T343" s="192"/>
      <c r="U343" s="192"/>
      <c r="V343" s="192"/>
      <c r="W343" s="192"/>
      <c r="X343" s="192"/>
      <c r="Y343" s="192"/>
      <c r="Z343" s="192"/>
      <c r="AA343" s="192"/>
      <c r="AB343" s="192"/>
      <c r="AC343" s="192"/>
      <c r="AD343" s="192"/>
      <c r="AE343" s="192"/>
      <c r="AF343" s="192"/>
      <c r="AG343" s="192"/>
      <c r="AH343" s="192"/>
      <c r="AI343" s="192"/>
      <c r="AJ343" s="192"/>
      <c r="AK343" s="192"/>
      <c r="AL343" s="192"/>
      <c r="AM343" s="192"/>
      <c r="AN343" s="192"/>
      <c r="AO343" s="219">
        <f>AO341-AO342</f>
        <v>1.2097278774636584</v>
      </c>
      <c r="AP343" s="222">
        <f t="shared" ref="AP343:BK343" si="4801">AP341-AP342</f>
        <v>1.2283778489078898</v>
      </c>
      <c r="AQ343" s="222">
        <f t="shared" si="4801"/>
        <v>1.24731534074522</v>
      </c>
      <c r="AR343" s="222">
        <f t="shared" si="4801"/>
        <v>1.2665447855817087</v>
      </c>
      <c r="AS343" s="222">
        <f t="shared" si="4801"/>
        <v>1.2860706843594267</v>
      </c>
      <c r="AT343" s="222">
        <f t="shared" si="4801"/>
        <v>1.305897607409968</v>
      </c>
      <c r="AU343" s="222">
        <f t="shared" si="4801"/>
        <v>1.3260301955242049</v>
      </c>
      <c r="AV343" s="222">
        <f t="shared" si="4801"/>
        <v>1.3464731610385363</v>
      </c>
      <c r="AW343" s="222">
        <f t="shared" si="4801"/>
        <v>1.3672312889378804</v>
      </c>
      <c r="AX343" s="222">
        <f t="shared" si="4801"/>
        <v>1.3883094379756726</v>
      </c>
      <c r="AY343" s="222">
        <f t="shared" si="4801"/>
        <v>1.4097125418111309</v>
      </c>
      <c r="AZ343" s="222">
        <f t="shared" si="4801"/>
        <v>1.4314456101640527</v>
      </c>
      <c r="BA343" s="222">
        <f t="shared" si="4801"/>
        <v>1.453513729987415</v>
      </c>
      <c r="BB343" s="222">
        <f t="shared" si="4801"/>
        <v>1.4759220666580544</v>
      </c>
      <c r="BC343" s="222">
        <f t="shared" si="4801"/>
        <v>1.4986758651856995</v>
      </c>
      <c r="BD343" s="222">
        <f t="shared" si="4801"/>
        <v>1.5217804514406457</v>
      </c>
      <c r="BE343" s="222">
        <f t="shared" si="4801"/>
        <v>1.5452412334003556</v>
      </c>
      <c r="BF343" s="222">
        <f t="shared" si="4801"/>
        <v>1.5690637024152778</v>
      </c>
      <c r="BG343" s="222">
        <f t="shared" si="4801"/>
        <v>1.59325343449418</v>
      </c>
      <c r="BH343" s="222">
        <f t="shared" si="4801"/>
        <v>0</v>
      </c>
      <c r="BI343" s="222">
        <f t="shared" si="4801"/>
        <v>0</v>
      </c>
      <c r="BJ343" s="222">
        <f t="shared" si="4801"/>
        <v>0</v>
      </c>
      <c r="BK343" s="222">
        <f t="shared" si="4801"/>
        <v>0</v>
      </c>
    </row>
    <row r="344" spans="1:63" ht="7.8" x14ac:dyDescent="0.15">
      <c r="A344" s="205" t="s">
        <v>7</v>
      </c>
      <c r="B344" s="192"/>
      <c r="C344" s="192"/>
      <c r="D344" s="192"/>
      <c r="E344" s="192"/>
      <c r="F344" s="192"/>
      <c r="G344" s="192"/>
      <c r="H344" s="192"/>
      <c r="I344" s="192"/>
      <c r="J344" s="192"/>
      <c r="K344" s="192"/>
      <c r="L344" s="192"/>
      <c r="M344" s="192"/>
      <c r="N344" s="192"/>
      <c r="O344" s="192"/>
      <c r="P344" s="192"/>
      <c r="Q344" s="192"/>
      <c r="R344" s="192"/>
      <c r="S344" s="192"/>
      <c r="T344" s="192"/>
      <c r="U344" s="192"/>
      <c r="V344" s="192"/>
      <c r="W344" s="192"/>
      <c r="X344" s="192"/>
      <c r="Y344" s="192"/>
      <c r="Z344" s="192"/>
      <c r="AA344" s="192"/>
      <c r="AB344" s="192"/>
      <c r="AC344" s="192"/>
      <c r="AD344" s="192"/>
      <c r="AE344" s="192"/>
      <c r="AF344" s="192"/>
      <c r="AG344" s="192"/>
      <c r="AH344" s="192"/>
      <c r="AI344" s="192"/>
      <c r="AJ344" s="192"/>
      <c r="AK344" s="192"/>
      <c r="AL344" s="192"/>
      <c r="AM344" s="192"/>
      <c r="AN344" s="192"/>
      <c r="AO344" s="214" cm="1">
        <f t="array" ref="AO344">INDEX(LoanOriginations,$A339)</f>
        <v>120.26639274475315</v>
      </c>
      <c r="AP344" s="199">
        <f t="shared" ref="AP344:BK344" si="4802">AO344*(1-MitigateDelinquency*MitigateChargeoff)  *  IF(AP339=0,0,IF(AP339-102=LoanSaleHeld,0.6,1))</f>
        <v>120.14612635200839</v>
      </c>
      <c r="AQ344" s="199">
        <f t="shared" si="4802"/>
        <v>120.02598022565638</v>
      </c>
      <c r="AR344" s="199">
        <f t="shared" si="4802"/>
        <v>119.90595424543072</v>
      </c>
      <c r="AS344" s="199">
        <f t="shared" si="4802"/>
        <v>71.871628974711172</v>
      </c>
      <c r="AT344" s="199">
        <f t="shared" si="4802"/>
        <v>71.799757345736467</v>
      </c>
      <c r="AU344" s="199">
        <f t="shared" si="4802"/>
        <v>71.727957588390737</v>
      </c>
      <c r="AV344" s="199">
        <f t="shared" si="4802"/>
        <v>71.656229630802343</v>
      </c>
      <c r="AW344" s="199">
        <f t="shared" si="4802"/>
        <v>71.584573401171539</v>
      </c>
      <c r="AX344" s="199">
        <f t="shared" si="4802"/>
        <v>71.512988827770371</v>
      </c>
      <c r="AY344" s="199">
        <f t="shared" si="4802"/>
        <v>71.441475838942594</v>
      </c>
      <c r="AZ344" s="199">
        <f t="shared" si="4802"/>
        <v>71.370034363103656</v>
      </c>
      <c r="BA344" s="199">
        <f t="shared" si="4802"/>
        <v>71.298664328740557</v>
      </c>
      <c r="BB344" s="199">
        <f t="shared" si="4802"/>
        <v>71.22736566441182</v>
      </c>
      <c r="BC344" s="199">
        <f t="shared" si="4802"/>
        <v>71.156138298747408</v>
      </c>
      <c r="BD344" s="199">
        <f t="shared" si="4802"/>
        <v>71.084982160448661</v>
      </c>
      <c r="BE344" s="199">
        <f t="shared" si="4802"/>
        <v>71.013897178288218</v>
      </c>
      <c r="BF344" s="199">
        <f t="shared" si="4802"/>
        <v>70.942883281109928</v>
      </c>
      <c r="BG344" s="199">
        <f t="shared" si="4802"/>
        <v>70.871940397828823</v>
      </c>
      <c r="BH344" s="199">
        <f t="shared" si="4802"/>
        <v>0</v>
      </c>
      <c r="BI344" s="199">
        <f t="shared" si="4802"/>
        <v>0</v>
      </c>
      <c r="BJ344" s="199">
        <f t="shared" si="4802"/>
        <v>0</v>
      </c>
      <c r="BK344" s="199">
        <f t="shared" si="4802"/>
        <v>0</v>
      </c>
    </row>
    <row r="345" spans="1:63" ht="7.8" x14ac:dyDescent="0.15">
      <c r="A345" s="207" t="s">
        <v>96</v>
      </c>
      <c r="B345" s="192"/>
      <c r="C345" s="192"/>
      <c r="D345" s="192"/>
      <c r="E345" s="192"/>
      <c r="F345" s="192"/>
      <c r="G345" s="192"/>
      <c r="H345" s="192"/>
      <c r="I345" s="192"/>
      <c r="J345" s="192"/>
      <c r="K345" s="192"/>
      <c r="L345" s="192"/>
      <c r="M345" s="192"/>
      <c r="N345" s="192"/>
      <c r="O345" s="192"/>
      <c r="P345" s="192"/>
      <c r="Q345" s="192"/>
      <c r="R345" s="192"/>
      <c r="S345" s="192"/>
      <c r="T345" s="192"/>
      <c r="U345" s="192"/>
      <c r="V345" s="192"/>
      <c r="W345" s="192"/>
      <c r="X345" s="192"/>
      <c r="Y345" s="192"/>
      <c r="Z345" s="192"/>
      <c r="AA345" s="192"/>
      <c r="AB345" s="192"/>
      <c r="AC345" s="192"/>
      <c r="AD345" s="192"/>
      <c r="AE345" s="192"/>
      <c r="AF345" s="192"/>
      <c r="AG345" s="192"/>
      <c r="AH345" s="192"/>
      <c r="AI345" s="192"/>
      <c r="AJ345" s="192"/>
      <c r="AK345" s="192"/>
      <c r="AL345" s="192"/>
      <c r="AM345" s="192"/>
      <c r="AN345" s="192"/>
      <c r="AO345" s="223">
        <f>AO342*AO344</f>
        <v>46.352672203706945</v>
      </c>
      <c r="AP345" s="200">
        <f t="shared" ref="AP345" si="4803">AP342*AP344</f>
        <v>44.065597705903258</v>
      </c>
      <c r="AQ345" s="200">
        <f t="shared" ref="AQ345" si="4804">AQ342*AQ344</f>
        <v>41.748541087406458</v>
      </c>
      <c r="AR345" s="200">
        <f t="shared" ref="AR345" si="4805">AR342*AR344</f>
        <v>39.401067613589987</v>
      </c>
      <c r="AS345" s="200">
        <f t="shared" ref="AS345" si="4806">AS342*AS344</f>
        <v>22.213641775235924</v>
      </c>
      <c r="AT345" s="200">
        <f t="shared" ref="AT345" si="4807">AT342*AT344</f>
        <v>20.767859869519246</v>
      </c>
      <c r="AU345" s="200">
        <f t="shared" ref="AU345" si="4808">AU342*AU344</f>
        <v>19.303022583247198</v>
      </c>
      <c r="AV345" s="200">
        <f t="shared" ref="AV345" si="4809">AV342*AV344</f>
        <v>17.818853729434441</v>
      </c>
      <c r="AW345" s="200">
        <f t="shared" ref="AW345" si="4810">AW342*AW344</f>
        <v>16.315073145423497</v>
      </c>
      <c r="AX345" s="200">
        <f t="shared" ref="AX345" si="4811">AX342*AX344</f>
        <v>14.791396635628356</v>
      </c>
      <c r="AY345" s="200">
        <f t="shared" ref="AY345" si="4812">AY342*AY344</f>
        <v>13.247535913453452</v>
      </c>
      <c r="AZ345" s="200">
        <f t="shared" ref="AZ345" si="4813">AZ342*AZ344</f>
        <v>11.683198542376305</v>
      </c>
      <c r="BA345" s="200">
        <f t="shared" ref="BA345" si="4814">BA342*BA344</f>
        <v>10.098087876181582</v>
      </c>
      <c r="BB345" s="200">
        <f t="shared" ref="BB345" si="4815">BB342*BB344</f>
        <v>8.4919029983345258</v>
      </c>
      <c r="BC345" s="200">
        <f t="shared" ref="BC345" si="4816">BC342*BC344</f>
        <v>6.8643386604812475</v>
      </c>
      <c r="BD345" s="200">
        <f t="shared" ref="BD345" si="4817">BD342*BD344</f>
        <v>5.2150852200633686</v>
      </c>
      <c r="BE345" s="200">
        <f t="shared" ref="BE345" si="4818">BE342*BE344</f>
        <v>3.5438285770342239</v>
      </c>
      <c r="BF345" s="200">
        <f t="shared" ref="BF345" si="4819">BF342*BF344</f>
        <v>1.8502501096637094</v>
      </c>
      <c r="BG345" s="200">
        <f t="shared" ref="BG345" si="4820">BG342*BG344</f>
        <v>0.13402660941864122</v>
      </c>
      <c r="BH345" s="200">
        <f t="shared" ref="BH345" si="4821">BH342*BH344</f>
        <v>0</v>
      </c>
      <c r="BI345" s="200">
        <f t="shared" ref="BI345" si="4822">BI342*BI344</f>
        <v>0</v>
      </c>
      <c r="BJ345" s="200">
        <f t="shared" ref="BJ345" si="4823">BJ342*BJ344</f>
        <v>0</v>
      </c>
      <c r="BK345" s="200">
        <f t="shared" ref="BK345" si="4824">BK342*BK344</f>
        <v>0</v>
      </c>
    </row>
    <row r="346" spans="1:63" ht="7.8" x14ac:dyDescent="0.15">
      <c r="A346" s="206" t="s">
        <v>97</v>
      </c>
      <c r="B346" s="192"/>
      <c r="C346" s="192"/>
      <c r="D346" s="192"/>
      <c r="E346" s="192"/>
      <c r="F346" s="192"/>
      <c r="G346" s="192"/>
      <c r="H346" s="192"/>
      <c r="I346" s="192"/>
      <c r="J346" s="192"/>
      <c r="K346" s="192"/>
      <c r="L346" s="192"/>
      <c r="M346" s="192"/>
      <c r="N346" s="192"/>
      <c r="O346" s="192"/>
      <c r="P346" s="192"/>
      <c r="Q346" s="192"/>
      <c r="R346" s="192"/>
      <c r="S346" s="192"/>
      <c r="T346" s="192"/>
      <c r="U346" s="192"/>
      <c r="V346" s="192"/>
      <c r="W346" s="192"/>
      <c r="X346" s="192"/>
      <c r="Y346" s="192"/>
      <c r="Z346" s="192"/>
      <c r="AA346" s="192"/>
      <c r="AB346" s="192"/>
      <c r="AC346" s="192"/>
      <c r="AD346" s="192"/>
      <c r="AE346" s="192"/>
      <c r="AF346" s="192"/>
      <c r="AG346" s="192"/>
      <c r="AH346" s="192"/>
      <c r="AI346" s="192"/>
      <c r="AJ346" s="192"/>
      <c r="AK346" s="192"/>
      <c r="AL346" s="192"/>
      <c r="AM346" s="192"/>
      <c r="AN346" s="192"/>
      <c r="AO346" s="223">
        <f>AO343*AO344</f>
        <v>145.48960802532096</v>
      </c>
      <c r="AP346" s="200">
        <f>AP343*AP344</f>
        <v>147.58484024289561</v>
      </c>
      <c r="AQ346" s="200">
        <f t="shared" ref="AQ346:BK346" si="4825">AQ343*AQ344</f>
        <v>149.71024642344364</v>
      </c>
      <c r="AR346" s="200">
        <f t="shared" si="4825"/>
        <v>151.86626110974922</v>
      </c>
      <c r="AS346" s="200">
        <f t="shared" si="4825"/>
        <v>92.431995061533598</v>
      </c>
      <c r="AT346" s="200">
        <f t="shared" si="4825"/>
        <v>93.763131330413529</v>
      </c>
      <c r="AU346" s="200">
        <f t="shared" si="4825"/>
        <v>95.113437625485645</v>
      </c>
      <c r="AV346" s="200">
        <f t="shared" si="4825"/>
        <v>96.483190019089662</v>
      </c>
      <c r="AW346" s="200">
        <f t="shared" si="4825"/>
        <v>97.872668559352064</v>
      </c>
      <c r="AX346" s="200">
        <f t="shared" si="4825"/>
        <v>99.282157327442434</v>
      </c>
      <c r="AY346" s="200">
        <f t="shared" si="4825"/>
        <v>100.71194449565427</v>
      </c>
      <c r="AZ346" s="200">
        <f t="shared" si="4825"/>
        <v>102.16232238632232</v>
      </c>
      <c r="BA346" s="200">
        <f t="shared" si="4825"/>
        <v>103.63358753158835</v>
      </c>
      <c r="BB346" s="200">
        <f t="shared" si="4825"/>
        <v>105.12604073402764</v>
      </c>
      <c r="BC346" s="200">
        <f t="shared" si="4825"/>
        <v>106.63998712814856</v>
      </c>
      <c r="BD346" s="200">
        <f t="shared" si="4825"/>
        <v>108.1757362427778</v>
      </c>
      <c r="BE346" s="200">
        <f t="shared" si="4825"/>
        <v>109.73360206434411</v>
      </c>
      <c r="BF346" s="200">
        <f t="shared" si="4825"/>
        <v>111.31390310107325</v>
      </c>
      <c r="BG346" s="200">
        <f t="shared" si="4825"/>
        <v>112.9169624481076</v>
      </c>
      <c r="BH346" s="200">
        <f t="shared" si="4825"/>
        <v>0</v>
      </c>
      <c r="BI346" s="200">
        <f t="shared" si="4825"/>
        <v>0</v>
      </c>
      <c r="BJ346" s="200">
        <f t="shared" si="4825"/>
        <v>0</v>
      </c>
      <c r="BK346" s="200">
        <f t="shared" si="4825"/>
        <v>0</v>
      </c>
    </row>
    <row r="347" spans="1:63" ht="7.8" x14ac:dyDescent="0.15">
      <c r="A347" s="208" t="s">
        <v>203</v>
      </c>
      <c r="B347" s="192"/>
      <c r="C347" s="192"/>
      <c r="D347" s="192"/>
      <c r="E347" s="192"/>
      <c r="F347" s="192"/>
      <c r="G347" s="192"/>
      <c r="H347" s="192"/>
      <c r="I347" s="192"/>
      <c r="J347" s="192"/>
      <c r="K347" s="192"/>
      <c r="L347" s="192"/>
      <c r="M347" s="192"/>
      <c r="N347" s="192"/>
      <c r="O347" s="192"/>
      <c r="P347" s="192"/>
      <c r="Q347" s="192"/>
      <c r="R347" s="192"/>
      <c r="S347" s="192"/>
      <c r="T347" s="192"/>
      <c r="U347" s="192"/>
      <c r="V347" s="192"/>
      <c r="W347" s="192"/>
      <c r="X347" s="192"/>
      <c r="Y347" s="192"/>
      <c r="Z347" s="192"/>
      <c r="AA347" s="192"/>
      <c r="AB347" s="192"/>
      <c r="AC347" s="192"/>
      <c r="AD347" s="192"/>
      <c r="AE347" s="192"/>
      <c r="AF347" s="192"/>
      <c r="AG347" s="192"/>
      <c r="AH347" s="192"/>
      <c r="AI347" s="192"/>
      <c r="AJ347" s="192"/>
      <c r="AK347" s="192"/>
      <c r="AL347" s="192"/>
      <c r="AM347" s="192"/>
      <c r="AN347" s="192"/>
      <c r="AO347" s="224">
        <f>IF(AO339-101&lt;&gt;LoanSaleHeld,0,SUM($D346:AO346)*LoanSalePercent)</f>
        <v>0</v>
      </c>
      <c r="AP347" s="225">
        <f>IF(AP339-101&lt;&gt;LoanSaleHeld,0,SUM($D346:AP346)*LoanSalePercent)</f>
        <v>0</v>
      </c>
      <c r="AQ347" s="225">
        <f>IF(AQ339-101&lt;&gt;LoanSaleHeld,0,SUM($D346:AQ346)*LoanSalePercent)</f>
        <v>0</v>
      </c>
      <c r="AR347" s="225">
        <f>IF(AR339-101&lt;&gt;LoanSaleHeld,0,SUM($D346:AR346)*LoanSalePercent)</f>
        <v>237.86038232056376</v>
      </c>
      <c r="AS347" s="225">
        <f>IF(AS339-101&lt;&gt;LoanSaleHeld,0,SUM($D346:AS346)*LoanSalePercent)</f>
        <v>0</v>
      </c>
      <c r="AT347" s="225">
        <f>IF(AT339-101&lt;&gt;LoanSaleHeld,0,SUM($D346:AT346)*LoanSalePercent)</f>
        <v>0</v>
      </c>
      <c r="AU347" s="225">
        <f>IF(AU339-101&lt;&gt;LoanSaleHeld,0,SUM($D346:AU346)*LoanSalePercent)</f>
        <v>0</v>
      </c>
      <c r="AV347" s="225">
        <f>IF(AV339-101&lt;&gt;LoanSaleHeld,0,SUM($D346:AV346)*LoanSalePercent)</f>
        <v>0</v>
      </c>
      <c r="AW347" s="225">
        <f>IF(AW339-101&lt;&gt;LoanSaleHeld,0,SUM($D346:AW346)*LoanSalePercent)</f>
        <v>0</v>
      </c>
      <c r="AX347" s="225">
        <f>IF(AX339-101&lt;&gt;LoanSaleHeld,0,SUM($D346:AX346)*LoanSalePercent)</f>
        <v>0</v>
      </c>
      <c r="AY347" s="225">
        <f>IF(AY339-101&lt;&gt;LoanSaleHeld,0,SUM($D346:AY346)*LoanSalePercent)</f>
        <v>0</v>
      </c>
      <c r="AZ347" s="225">
        <f>IF(AZ339-101&lt;&gt;LoanSaleHeld,0,SUM($D346:AZ346)*LoanSalePercent)</f>
        <v>0</v>
      </c>
      <c r="BA347" s="225">
        <f>IF(BA339-101&lt;&gt;LoanSaleHeld,0,SUM($D346:BA346)*LoanSalePercent)</f>
        <v>0</v>
      </c>
      <c r="BB347" s="225">
        <f>IF(BB339-101&lt;&gt;LoanSaleHeld,0,SUM($D346:BB346)*LoanSalePercent)</f>
        <v>0</v>
      </c>
      <c r="BC347" s="225">
        <f>IF(BC339-101&lt;&gt;LoanSaleHeld,0,SUM($D346:BC346)*LoanSalePercent)</f>
        <v>0</v>
      </c>
      <c r="BD347" s="225">
        <f>IF(BD339-101&lt;&gt;LoanSaleHeld,0,SUM($D346:BD346)*LoanSalePercent)</f>
        <v>0</v>
      </c>
      <c r="BE347" s="225">
        <f>IF(BE339-101&lt;&gt;LoanSaleHeld,0,SUM($D346:BE346)*LoanSalePercent)</f>
        <v>0</v>
      </c>
      <c r="BF347" s="225">
        <f>IF(BF339-101&lt;&gt;LoanSaleHeld,0,SUM($D346:BF346)*LoanSalePercent)</f>
        <v>0</v>
      </c>
      <c r="BG347" s="225">
        <f>IF(BG339-101&lt;&gt;LoanSaleHeld,0,SUM($D346:BG346)*LoanSalePercent)</f>
        <v>0</v>
      </c>
      <c r="BH347" s="225">
        <f>IF(BH339-101&lt;&gt;LoanSaleHeld,0,SUM($D346:BH346)*LoanSalePercent)</f>
        <v>0</v>
      </c>
      <c r="BI347" s="225">
        <f>IF(BI339-101&lt;&gt;LoanSaleHeld,0,SUM($D346:BI346)*LoanSalePercent)</f>
        <v>0</v>
      </c>
      <c r="BJ347" s="225">
        <f>IF(BJ339-101&lt;&gt;LoanSaleHeld,0,SUM($D346:BJ346)*LoanSalePercent)</f>
        <v>0</v>
      </c>
      <c r="BK347" s="225">
        <f>IF(BK339-101&lt;&gt;LoanSaleHeld,0,SUM($D346:BK346)*LoanSalePercent)</f>
        <v>0</v>
      </c>
    </row>
    <row r="348" spans="1:63" ht="7.8" x14ac:dyDescent="0.15">
      <c r="A348" s="204">
        <f t="shared" ref="A348" si="4826">A339+1</f>
        <v>39</v>
      </c>
      <c r="B348" s="192"/>
      <c r="C348" s="192"/>
      <c r="D348" s="192"/>
      <c r="E348" s="192"/>
      <c r="F348" s="192"/>
      <c r="G348" s="192"/>
      <c r="H348" s="192"/>
      <c r="I348" s="192"/>
      <c r="J348" s="192"/>
      <c r="K348" s="192"/>
      <c r="L348" s="192"/>
      <c r="M348" s="192"/>
      <c r="N348" s="192"/>
      <c r="O348" s="192"/>
      <c r="P348" s="192"/>
      <c r="Q348" s="192"/>
      <c r="R348" s="192"/>
      <c r="S348" s="192"/>
      <c r="T348" s="192"/>
      <c r="U348" s="192"/>
      <c r="V348" s="192"/>
      <c r="W348" s="192"/>
      <c r="X348" s="192"/>
      <c r="Y348" s="192"/>
      <c r="Z348" s="192"/>
      <c r="AA348" s="192"/>
      <c r="AB348" s="192"/>
      <c r="AC348" s="192"/>
      <c r="AD348" s="192"/>
      <c r="AE348" s="192"/>
      <c r="AF348" s="192"/>
      <c r="AG348" s="192"/>
      <c r="AH348" s="192"/>
      <c r="AI348" s="192"/>
      <c r="AJ348" s="192"/>
      <c r="AK348" s="192"/>
      <c r="AL348" s="192"/>
      <c r="AM348" s="192"/>
      <c r="AN348" s="192"/>
      <c r="AO348" s="192"/>
      <c r="AP348" s="195">
        <v>101</v>
      </c>
      <c r="AQ348" s="196">
        <f t="shared" ref="AQ348" si="4827">IF(AQ349=0,0,AP348+1)</f>
        <v>102</v>
      </c>
      <c r="AR348" s="196">
        <f t="shared" ref="AR348" si="4828">IF(AR349=0,0,AQ348+1)</f>
        <v>103</v>
      </c>
      <c r="AS348" s="196">
        <f t="shared" ref="AS348" si="4829">IF(AS349=0,0,AR348+1)</f>
        <v>104</v>
      </c>
      <c r="AT348" s="196">
        <f t="shared" ref="AT348" si="4830">IF(AT349=0,0,AS348+1)</f>
        <v>105</v>
      </c>
      <c r="AU348" s="196">
        <f t="shared" ref="AU348" si="4831">IF(AU349=0,0,AT348+1)</f>
        <v>106</v>
      </c>
      <c r="AV348" s="196">
        <f t="shared" ref="AV348" si="4832">IF(AV349=0,0,AU348+1)</f>
        <v>107</v>
      </c>
      <c r="AW348" s="196">
        <f t="shared" ref="AW348" si="4833">IF(AW349=0,0,AV348+1)</f>
        <v>108</v>
      </c>
      <c r="AX348" s="196">
        <f t="shared" ref="AX348" si="4834">IF(AX349=0,0,AW348+1)</f>
        <v>109</v>
      </c>
      <c r="AY348" s="196">
        <f t="shared" ref="AY348" si="4835">IF(AY349=0,0,AX348+1)</f>
        <v>110</v>
      </c>
      <c r="AZ348" s="196">
        <f t="shared" ref="AZ348" si="4836">IF(AZ349=0,0,AY348+1)</f>
        <v>111</v>
      </c>
      <c r="BA348" s="196">
        <f t="shared" ref="BA348" si="4837">IF(BA349=0,0,AZ348+1)</f>
        <v>112</v>
      </c>
      <c r="BB348" s="196">
        <f t="shared" ref="BB348" si="4838">IF(BB349=0,0,BA348+1)</f>
        <v>113</v>
      </c>
      <c r="BC348" s="196">
        <f t="shared" ref="BC348" si="4839">IF(BC349=0,0,BB348+1)</f>
        <v>114</v>
      </c>
      <c r="BD348" s="196">
        <f t="shared" ref="BD348" si="4840">IF(BD349=0,0,BC348+1)</f>
        <v>115</v>
      </c>
      <c r="BE348" s="196">
        <f t="shared" ref="BE348" si="4841">IF(BE349=0,0,BD348+1)</f>
        <v>116</v>
      </c>
      <c r="BF348" s="196">
        <f t="shared" ref="BF348" si="4842">IF(BF349=0,0,BE348+1)</f>
        <v>117</v>
      </c>
      <c r="BG348" s="196">
        <f t="shared" ref="BG348" si="4843">IF(BG349=0,0,BF348+1)</f>
        <v>118</v>
      </c>
      <c r="BH348" s="196">
        <f t="shared" ref="BH348" si="4844">IF(BH349=0,0,BG348+1)</f>
        <v>119</v>
      </c>
      <c r="BI348" s="196">
        <f t="shared" ref="BI348" si="4845">IF(BI349=0,0,BH348+1)</f>
        <v>0</v>
      </c>
      <c r="BJ348" s="196">
        <f t="shared" ref="BJ348" si="4846">IF(BJ349=0,0,BI348+1)</f>
        <v>0</v>
      </c>
      <c r="BK348" s="196">
        <f t="shared" ref="BK348" si="4847">IF(BK349=0,0,BJ348+1)</f>
        <v>0</v>
      </c>
    </row>
    <row r="349" spans="1:63" ht="7.8" x14ac:dyDescent="0.15">
      <c r="A349" s="216" t="s">
        <v>178</v>
      </c>
      <c r="B349" s="192"/>
      <c r="C349" s="192"/>
      <c r="D349" s="192"/>
      <c r="E349" s="192"/>
      <c r="F349" s="192"/>
      <c r="G349" s="192"/>
      <c r="H349" s="192"/>
      <c r="I349" s="192"/>
      <c r="J349" s="192"/>
      <c r="K349" s="192"/>
      <c r="L349" s="192"/>
      <c r="M349" s="192"/>
      <c r="N349" s="192"/>
      <c r="O349" s="192"/>
      <c r="P349" s="192"/>
      <c r="Q349" s="192"/>
      <c r="R349" s="192"/>
      <c r="S349" s="192"/>
      <c r="T349" s="192"/>
      <c r="U349" s="192"/>
      <c r="V349" s="192"/>
      <c r="W349" s="192"/>
      <c r="X349" s="192"/>
      <c r="Y349" s="192"/>
      <c r="Z349" s="192"/>
      <c r="AA349" s="192"/>
      <c r="AB349" s="192"/>
      <c r="AC349" s="192"/>
      <c r="AD349" s="192"/>
      <c r="AE349" s="192"/>
      <c r="AF349" s="192"/>
      <c r="AG349" s="192"/>
      <c r="AH349" s="192"/>
      <c r="AI349" s="192"/>
      <c r="AJ349" s="192"/>
      <c r="AK349" s="192"/>
      <c r="AL349" s="192"/>
      <c r="AM349" s="192"/>
      <c r="AN349" s="192"/>
      <c r="AO349" s="192"/>
      <c r="AP349" s="217">
        <f>LoanSize</f>
        <v>25</v>
      </c>
      <c r="AQ349" s="215">
        <f>IF(AP349-AP352&lt;=0.1,0,AP349-AP352)</f>
        <v>23.79027212253634</v>
      </c>
      <c r="AR349" s="215">
        <f t="shared" ref="AR349:BK349" si="4848">IF(AQ349-AQ352&lt;=0.1,0,AQ349-AQ352)</f>
        <v>22.56189427362845</v>
      </c>
      <c r="AS349" s="215">
        <f t="shared" si="4848"/>
        <v>21.314578932883229</v>
      </c>
      <c r="AT349" s="215">
        <f t="shared" si="4848"/>
        <v>20.048034147301522</v>
      </c>
      <c r="AU349" s="215">
        <f t="shared" si="4848"/>
        <v>18.761963462942095</v>
      </c>
      <c r="AV349" s="215">
        <f t="shared" si="4848"/>
        <v>17.456065855532128</v>
      </c>
      <c r="AW349" s="215">
        <f t="shared" si="4848"/>
        <v>16.130035660007923</v>
      </c>
      <c r="AX349" s="215">
        <f t="shared" si="4848"/>
        <v>14.783562498969387</v>
      </c>
      <c r="AY349" s="215">
        <f t="shared" si="4848"/>
        <v>13.416331210031506</v>
      </c>
      <c r="AZ349" s="215">
        <f t="shared" si="4848"/>
        <v>12.028021772055833</v>
      </c>
      <c r="BA349" s="215">
        <f t="shared" si="4848"/>
        <v>10.618309230244702</v>
      </c>
      <c r="BB349" s="215">
        <f t="shared" si="4848"/>
        <v>9.1868636200806488</v>
      </c>
      <c r="BC349" s="215">
        <f t="shared" si="4848"/>
        <v>7.7333498900932334</v>
      </c>
      <c r="BD349" s="215">
        <f t="shared" si="4848"/>
        <v>6.2574278234351794</v>
      </c>
      <c r="BE349" s="215">
        <f t="shared" si="4848"/>
        <v>4.7587519582494799</v>
      </c>
      <c r="BF349" s="215">
        <f t="shared" si="4848"/>
        <v>3.2369715068088345</v>
      </c>
      <c r="BG349" s="215">
        <f t="shared" si="4848"/>
        <v>1.6917302734084789</v>
      </c>
      <c r="BH349" s="215">
        <f t="shared" si="4848"/>
        <v>0.12266657099320111</v>
      </c>
      <c r="BI349" s="215">
        <f t="shared" si="4848"/>
        <v>0</v>
      </c>
      <c r="BJ349" s="215">
        <f t="shared" si="4848"/>
        <v>0</v>
      </c>
      <c r="BK349" s="215">
        <f t="shared" si="4848"/>
        <v>0</v>
      </c>
    </row>
    <row r="350" spans="1:63" ht="7.8" x14ac:dyDescent="0.15">
      <c r="A350" s="218" t="s">
        <v>179</v>
      </c>
      <c r="B350" s="192"/>
      <c r="C350" s="192"/>
      <c r="D350" s="192"/>
      <c r="E350" s="192"/>
      <c r="F350" s="192"/>
      <c r="G350" s="192"/>
      <c r="H350" s="192"/>
      <c r="I350" s="192"/>
      <c r="J350" s="192"/>
      <c r="K350" s="192"/>
      <c r="L350" s="192"/>
      <c r="M350" s="192"/>
      <c r="N350" s="192"/>
      <c r="O350" s="192"/>
      <c r="P350" s="192"/>
      <c r="Q350" s="192"/>
      <c r="R350" s="192"/>
      <c r="S350" s="192"/>
      <c r="T350" s="192"/>
      <c r="U350" s="192"/>
      <c r="V350" s="192"/>
      <c r="W350" s="192"/>
      <c r="X350" s="192"/>
      <c r="Y350" s="192"/>
      <c r="Z350" s="192"/>
      <c r="AA350" s="192"/>
      <c r="AB350" s="192"/>
      <c r="AC350" s="192"/>
      <c r="AD350" s="192"/>
      <c r="AE350" s="192"/>
      <c r="AF350" s="192"/>
      <c r="AG350" s="192"/>
      <c r="AH350" s="192"/>
      <c r="AI350" s="192"/>
      <c r="AJ350" s="192"/>
      <c r="AK350" s="192"/>
      <c r="AL350" s="192"/>
      <c r="AM350" s="192"/>
      <c r="AN350" s="192"/>
      <c r="AO350" s="192"/>
      <c r="AP350" s="219">
        <f>IF(AP349=0,0,PMT(INDEX(LoanCohortRate,1),LoanTerm, -LoanSize))</f>
        <v>1.5951445441303251</v>
      </c>
      <c r="AQ350" s="222">
        <f t="shared" ref="AQ350" si="4849">IF(AQ349=0,0, AP350)</f>
        <v>1.5951445441303251</v>
      </c>
      <c r="AR350" s="222">
        <f t="shared" ref="AR350" si="4850">IF(AR349=0,0, AQ350)</f>
        <v>1.5951445441303251</v>
      </c>
      <c r="AS350" s="222">
        <f t="shared" ref="AS350" si="4851">IF(AS349=0,0, AR350)</f>
        <v>1.5951445441303251</v>
      </c>
      <c r="AT350" s="222">
        <f t="shared" ref="AT350" si="4852">IF(AT349=0,0, AS350)</f>
        <v>1.5951445441303251</v>
      </c>
      <c r="AU350" s="222">
        <f t="shared" ref="AU350" si="4853">IF(AU349=0,0, AT350)</f>
        <v>1.5951445441303251</v>
      </c>
      <c r="AV350" s="222">
        <f t="shared" ref="AV350" si="4854">IF(AV349=0,0, AU350)</f>
        <v>1.5951445441303251</v>
      </c>
      <c r="AW350" s="222">
        <f t="shared" ref="AW350" si="4855">IF(AW349=0,0, AV350)</f>
        <v>1.5951445441303251</v>
      </c>
      <c r="AX350" s="222">
        <f t="shared" ref="AX350" si="4856">IF(AX349=0,0, AW350)</f>
        <v>1.5951445441303251</v>
      </c>
      <c r="AY350" s="222">
        <f t="shared" ref="AY350" si="4857">IF(AY349=0,0, AX350)</f>
        <v>1.5951445441303251</v>
      </c>
      <c r="AZ350" s="222">
        <f t="shared" ref="AZ350" si="4858">IF(AZ349=0,0, AY350)</f>
        <v>1.5951445441303251</v>
      </c>
      <c r="BA350" s="222">
        <f t="shared" ref="BA350" si="4859">IF(BA349=0,0, AZ350)</f>
        <v>1.5951445441303251</v>
      </c>
      <c r="BB350" s="222">
        <f t="shared" ref="BB350" si="4860">IF(BB349=0,0, BA350)</f>
        <v>1.5951445441303251</v>
      </c>
      <c r="BC350" s="222">
        <f t="shared" ref="BC350" si="4861">IF(BC349=0,0, BB350)</f>
        <v>1.5951445441303251</v>
      </c>
      <c r="BD350" s="222">
        <f t="shared" ref="BD350" si="4862">IF(BD349=0,0, BC350)</f>
        <v>1.5951445441303251</v>
      </c>
      <c r="BE350" s="222">
        <f t="shared" ref="BE350" si="4863">IF(BE349=0,0, BD350)</f>
        <v>1.5951445441303251</v>
      </c>
      <c r="BF350" s="222">
        <f t="shared" ref="BF350" si="4864">IF(BF349=0,0, BE350)</f>
        <v>1.5951445441303251</v>
      </c>
      <c r="BG350" s="222">
        <f t="shared" ref="BG350" si="4865">IF(BG349=0,0, BF350)</f>
        <v>1.5951445441303251</v>
      </c>
      <c r="BH350" s="222">
        <f t="shared" ref="BH350" si="4866">IF(BH349=0,0, BG350)</f>
        <v>1.5951445441303251</v>
      </c>
      <c r="BI350" s="222">
        <f t="shared" ref="BI350" si="4867">IF(BI349=0,0, BH350)</f>
        <v>0</v>
      </c>
      <c r="BJ350" s="222">
        <f t="shared" ref="BJ350" si="4868">IF(BJ349=0,0, BI350)</f>
        <v>0</v>
      </c>
      <c r="BK350" s="222">
        <f t="shared" ref="BK350" si="4869">IF(BK349=0,0, BJ350)</f>
        <v>0</v>
      </c>
    </row>
    <row r="351" spans="1:63" ht="7.8" x14ac:dyDescent="0.15">
      <c r="A351" s="218" t="s">
        <v>180</v>
      </c>
      <c r="B351" s="192"/>
      <c r="C351" s="192"/>
      <c r="D351" s="192"/>
      <c r="E351" s="192"/>
      <c r="F351" s="192"/>
      <c r="G351" s="192"/>
      <c r="H351" s="192"/>
      <c r="I351" s="192"/>
      <c r="J351" s="192"/>
      <c r="K351" s="192"/>
      <c r="L351" s="192"/>
      <c r="M351" s="192"/>
      <c r="N351" s="192"/>
      <c r="O351" s="192"/>
      <c r="P351" s="192"/>
      <c r="Q351" s="192"/>
      <c r="R351" s="192"/>
      <c r="S351" s="192"/>
      <c r="T351" s="192"/>
      <c r="U351" s="192"/>
      <c r="V351" s="192"/>
      <c r="W351" s="192"/>
      <c r="X351" s="192"/>
      <c r="Y351" s="192"/>
      <c r="Z351" s="192"/>
      <c r="AA351" s="192"/>
      <c r="AB351" s="192"/>
      <c r="AC351" s="192"/>
      <c r="AD351" s="192"/>
      <c r="AE351" s="192"/>
      <c r="AF351" s="192"/>
      <c r="AG351" s="192"/>
      <c r="AH351" s="192"/>
      <c r="AI351" s="192"/>
      <c r="AJ351" s="192"/>
      <c r="AK351" s="192"/>
      <c r="AL351" s="192"/>
      <c r="AM351" s="192"/>
      <c r="AN351" s="192"/>
      <c r="AO351" s="192"/>
      <c r="AP351" s="220" cm="1">
        <f t="array" ref="AP351">AP349*INDEX(LoanCohortRate,$A348)</f>
        <v>0.38541666666666669</v>
      </c>
      <c r="AQ351" s="221" cm="1">
        <f t="array" ref="AQ351">AQ349*INDEX(LoanCohortRate,$A348)</f>
        <v>0.36676669522243527</v>
      </c>
      <c r="AR351" s="221" cm="1">
        <f t="array" ref="AR351">AR349*INDEX(LoanCohortRate,$A348)</f>
        <v>0.34782920338510526</v>
      </c>
      <c r="AS351" s="221" cm="1">
        <f t="array" ref="AS351">AS349*INDEX(LoanCohortRate,$A348)</f>
        <v>0.32859975854861645</v>
      </c>
      <c r="AT351" s="221" cm="1">
        <f t="array" ref="AT351">AT349*INDEX(LoanCohortRate,$A348)</f>
        <v>0.30907385977089846</v>
      </c>
      <c r="AU351" s="221" cm="1">
        <f t="array" ref="AU351">AU349*INDEX(LoanCohortRate,$A348)</f>
        <v>0.28924693672035728</v>
      </c>
      <c r="AV351" s="221" cm="1">
        <f t="array" ref="AV351">AV349*INDEX(LoanCohortRate,$A348)</f>
        <v>0.26911434860612032</v>
      </c>
      <c r="AW351" s="221" cm="1">
        <f t="array" ref="AW351">AW349*INDEX(LoanCohortRate,$A348)</f>
        <v>0.24867138309178882</v>
      </c>
      <c r="AX351" s="221" cm="1">
        <f t="array" ref="AX351">AX349*INDEX(LoanCohortRate,$A348)</f>
        <v>0.22791325519244471</v>
      </c>
      <c r="AY351" s="221" cm="1">
        <f t="array" ref="AY351">AY349*INDEX(LoanCohortRate,$A348)</f>
        <v>0.20683510615465239</v>
      </c>
      <c r="AZ351" s="221" cm="1">
        <f t="array" ref="AZ351">AZ349*INDEX(LoanCohortRate,$A348)</f>
        <v>0.1854320023191941</v>
      </c>
      <c r="BA351" s="221" cm="1">
        <f t="array" ref="BA351">BA349*INDEX(LoanCohortRate,$A348)</f>
        <v>0.1636989339662725</v>
      </c>
      <c r="BB351" s="221" cm="1">
        <f t="array" ref="BB351">BB349*INDEX(LoanCohortRate,$A348)</f>
        <v>0.14163081414291001</v>
      </c>
      <c r="BC351" s="221" cm="1">
        <f t="array" ref="BC351">BC349*INDEX(LoanCohortRate,$A348)</f>
        <v>0.11922247747227069</v>
      </c>
      <c r="BD351" s="221" cm="1">
        <f t="array" ref="BD351">BD349*INDEX(LoanCohortRate,$A348)</f>
        <v>9.6468678944625685E-2</v>
      </c>
      <c r="BE351" s="221" cm="1">
        <f t="array" ref="BE351">BE349*INDEX(LoanCohortRate,$A348)</f>
        <v>7.3364092689679486E-2</v>
      </c>
      <c r="BF351" s="221" cm="1">
        <f t="array" ref="BF351">BF349*INDEX(LoanCohortRate,$A348)</f>
        <v>4.9903310729969536E-2</v>
      </c>
      <c r="BG351" s="221" cm="1">
        <f t="array" ref="BG351">BG349*INDEX(LoanCohortRate,$A348)</f>
        <v>2.6080841715047383E-2</v>
      </c>
      <c r="BH351" s="221" cm="1">
        <f t="array" ref="BH351">BH349*INDEX(LoanCohortRate,$A348)</f>
        <v>1.8911096361451838E-3</v>
      </c>
      <c r="BI351" s="221" cm="1">
        <f t="array" ref="BI351">BI349*INDEX(LoanCohortRate,$A348)</f>
        <v>0</v>
      </c>
      <c r="BJ351" s="221" cm="1">
        <f t="array" ref="BJ351">BJ349*INDEX(LoanCohortRate,$A348)</f>
        <v>0</v>
      </c>
      <c r="BK351" s="221" cm="1">
        <f t="array" ref="BK351">BK349*INDEX(LoanCohortRate,$A348)</f>
        <v>0</v>
      </c>
    </row>
    <row r="352" spans="1:63" ht="7.8" x14ac:dyDescent="0.15">
      <c r="A352" s="218" t="s">
        <v>177</v>
      </c>
      <c r="B352" s="192"/>
      <c r="C352" s="192"/>
      <c r="D352" s="192"/>
      <c r="E352" s="192"/>
      <c r="F352" s="192"/>
      <c r="G352" s="192"/>
      <c r="H352" s="192"/>
      <c r="I352" s="192"/>
      <c r="J352" s="192"/>
      <c r="K352" s="192"/>
      <c r="L352" s="192"/>
      <c r="M352" s="192"/>
      <c r="N352" s="192"/>
      <c r="O352" s="192"/>
      <c r="P352" s="192"/>
      <c r="Q352" s="192"/>
      <c r="R352" s="192"/>
      <c r="S352" s="192"/>
      <c r="T352" s="192"/>
      <c r="U352" s="192"/>
      <c r="V352" s="192"/>
      <c r="W352" s="192"/>
      <c r="X352" s="192"/>
      <c r="Y352" s="192"/>
      <c r="Z352" s="192"/>
      <c r="AA352" s="192"/>
      <c r="AB352" s="192"/>
      <c r="AC352" s="192"/>
      <c r="AD352" s="192"/>
      <c r="AE352" s="192"/>
      <c r="AF352" s="192"/>
      <c r="AG352" s="192"/>
      <c r="AH352" s="192"/>
      <c r="AI352" s="192"/>
      <c r="AJ352" s="192"/>
      <c r="AK352" s="192"/>
      <c r="AL352" s="192"/>
      <c r="AM352" s="192"/>
      <c r="AN352" s="192"/>
      <c r="AO352" s="192"/>
      <c r="AP352" s="219">
        <f>AP350-AP351</f>
        <v>1.2097278774636584</v>
      </c>
      <c r="AQ352" s="222">
        <f t="shared" ref="AQ352:BK352" si="4870">AQ350-AQ351</f>
        <v>1.2283778489078898</v>
      </c>
      <c r="AR352" s="222">
        <f t="shared" si="4870"/>
        <v>1.24731534074522</v>
      </c>
      <c r="AS352" s="222">
        <f t="shared" si="4870"/>
        <v>1.2665447855817087</v>
      </c>
      <c r="AT352" s="222">
        <f t="shared" si="4870"/>
        <v>1.2860706843594267</v>
      </c>
      <c r="AU352" s="222">
        <f t="shared" si="4870"/>
        <v>1.305897607409968</v>
      </c>
      <c r="AV352" s="222">
        <f t="shared" si="4870"/>
        <v>1.3260301955242049</v>
      </c>
      <c r="AW352" s="222">
        <f t="shared" si="4870"/>
        <v>1.3464731610385363</v>
      </c>
      <c r="AX352" s="222">
        <f t="shared" si="4870"/>
        <v>1.3672312889378804</v>
      </c>
      <c r="AY352" s="222">
        <f t="shared" si="4870"/>
        <v>1.3883094379756726</v>
      </c>
      <c r="AZ352" s="222">
        <f t="shared" si="4870"/>
        <v>1.4097125418111309</v>
      </c>
      <c r="BA352" s="222">
        <f t="shared" si="4870"/>
        <v>1.4314456101640527</v>
      </c>
      <c r="BB352" s="222">
        <f t="shared" si="4870"/>
        <v>1.453513729987415</v>
      </c>
      <c r="BC352" s="222">
        <f t="shared" si="4870"/>
        <v>1.4759220666580544</v>
      </c>
      <c r="BD352" s="222">
        <f t="shared" si="4870"/>
        <v>1.4986758651856995</v>
      </c>
      <c r="BE352" s="222">
        <f t="shared" si="4870"/>
        <v>1.5217804514406457</v>
      </c>
      <c r="BF352" s="222">
        <f t="shared" si="4870"/>
        <v>1.5452412334003556</v>
      </c>
      <c r="BG352" s="222">
        <f t="shared" si="4870"/>
        <v>1.5690637024152778</v>
      </c>
      <c r="BH352" s="222">
        <f t="shared" si="4870"/>
        <v>1.59325343449418</v>
      </c>
      <c r="BI352" s="222">
        <f t="shared" si="4870"/>
        <v>0</v>
      </c>
      <c r="BJ352" s="222">
        <f t="shared" si="4870"/>
        <v>0</v>
      </c>
      <c r="BK352" s="222">
        <f t="shared" si="4870"/>
        <v>0</v>
      </c>
    </row>
    <row r="353" spans="1:63" ht="7.8" x14ac:dyDescent="0.15">
      <c r="A353" s="205" t="s">
        <v>7</v>
      </c>
      <c r="B353" s="192"/>
      <c r="C353" s="192"/>
      <c r="D353" s="192"/>
      <c r="E353" s="192"/>
      <c r="F353" s="192"/>
      <c r="G353" s="192"/>
      <c r="H353" s="192"/>
      <c r="I353" s="192"/>
      <c r="J353" s="192"/>
      <c r="K353" s="192"/>
      <c r="L353" s="192"/>
      <c r="M353" s="192"/>
      <c r="N353" s="192"/>
      <c r="O353" s="192"/>
      <c r="P353" s="192"/>
      <c r="Q353" s="192"/>
      <c r="R353" s="192"/>
      <c r="S353" s="192"/>
      <c r="T353" s="192"/>
      <c r="U353" s="192"/>
      <c r="V353" s="192"/>
      <c r="W353" s="192"/>
      <c r="X353" s="192"/>
      <c r="Y353" s="192"/>
      <c r="Z353" s="192"/>
      <c r="AA353" s="192"/>
      <c r="AB353" s="192"/>
      <c r="AC353" s="192"/>
      <c r="AD353" s="192"/>
      <c r="AE353" s="192"/>
      <c r="AF353" s="192"/>
      <c r="AG353" s="192"/>
      <c r="AH353" s="192"/>
      <c r="AI353" s="192"/>
      <c r="AJ353" s="192"/>
      <c r="AK353" s="192"/>
      <c r="AL353" s="192"/>
      <c r="AM353" s="192"/>
      <c r="AN353" s="192"/>
      <c r="AO353" s="192"/>
      <c r="AP353" s="214" cm="1">
        <f t="array" ref="AP353">INDEX(LoanOriginations,$A348)</f>
        <v>120.8677247084769</v>
      </c>
      <c r="AQ353" s="199">
        <f t="shared" ref="AQ353:BK353" si="4871">AP353*(1-MitigateDelinquency*MitigateChargeoff)  *  IF(AQ348=0,0,IF(AQ348-102=LoanSaleHeld,0.6,1))</f>
        <v>120.74685698376842</v>
      </c>
      <c r="AR353" s="199">
        <f t="shared" si="4871"/>
        <v>120.62611012678465</v>
      </c>
      <c r="AS353" s="199">
        <f t="shared" si="4871"/>
        <v>120.50548401665787</v>
      </c>
      <c r="AT353" s="199">
        <f t="shared" si="4871"/>
        <v>72.230987119584725</v>
      </c>
      <c r="AU353" s="199">
        <f t="shared" si="4871"/>
        <v>72.158756132465143</v>
      </c>
      <c r="AV353" s="199">
        <f t="shared" si="4871"/>
        <v>72.086597376332676</v>
      </c>
      <c r="AW353" s="199">
        <f t="shared" si="4871"/>
        <v>72.01451077895635</v>
      </c>
      <c r="AX353" s="199">
        <f t="shared" si="4871"/>
        <v>71.942496268177393</v>
      </c>
      <c r="AY353" s="199">
        <f t="shared" si="4871"/>
        <v>71.870553771909215</v>
      </c>
      <c r="AZ353" s="199">
        <f t="shared" si="4871"/>
        <v>71.798683218137299</v>
      </c>
      <c r="BA353" s="199">
        <f t="shared" si="4871"/>
        <v>71.726884534919165</v>
      </c>
      <c r="BB353" s="199">
        <f t="shared" si="4871"/>
        <v>71.65515765038424</v>
      </c>
      <c r="BC353" s="199">
        <f t="shared" si="4871"/>
        <v>71.583502492733857</v>
      </c>
      <c r="BD353" s="199">
        <f t="shared" si="4871"/>
        <v>71.511918990241128</v>
      </c>
      <c r="BE353" s="199">
        <f t="shared" si="4871"/>
        <v>71.440407071250888</v>
      </c>
      <c r="BF353" s="199">
        <f t="shared" si="4871"/>
        <v>71.368966664179638</v>
      </c>
      <c r="BG353" s="199">
        <f t="shared" si="4871"/>
        <v>71.297597697515457</v>
      </c>
      <c r="BH353" s="199">
        <f t="shared" si="4871"/>
        <v>71.226300099817948</v>
      </c>
      <c r="BI353" s="199">
        <f t="shared" si="4871"/>
        <v>0</v>
      </c>
      <c r="BJ353" s="199">
        <f t="shared" si="4871"/>
        <v>0</v>
      </c>
      <c r="BK353" s="199">
        <f t="shared" si="4871"/>
        <v>0</v>
      </c>
    </row>
    <row r="354" spans="1:63" ht="7.8" x14ac:dyDescent="0.15">
      <c r="A354" s="207" t="s">
        <v>96</v>
      </c>
      <c r="B354" s="192"/>
      <c r="C354" s="192"/>
      <c r="D354" s="192"/>
      <c r="E354" s="192"/>
      <c r="F354" s="192"/>
      <c r="G354" s="192"/>
      <c r="H354" s="192"/>
      <c r="I354" s="192"/>
      <c r="J354" s="192"/>
      <c r="K354" s="192"/>
      <c r="L354" s="192"/>
      <c r="M354" s="192"/>
      <c r="N354" s="192"/>
      <c r="O354" s="192"/>
      <c r="P354" s="192"/>
      <c r="Q354" s="192"/>
      <c r="R354" s="192"/>
      <c r="S354" s="192"/>
      <c r="T354" s="192"/>
      <c r="U354" s="192"/>
      <c r="V354" s="192"/>
      <c r="W354" s="192"/>
      <c r="X354" s="192"/>
      <c r="Y354" s="192"/>
      <c r="Z354" s="192"/>
      <c r="AA354" s="192"/>
      <c r="AB354" s="192"/>
      <c r="AC354" s="192"/>
      <c r="AD354" s="192"/>
      <c r="AE354" s="192"/>
      <c r="AF354" s="192"/>
      <c r="AG354" s="192"/>
      <c r="AH354" s="192"/>
      <c r="AI354" s="192"/>
      <c r="AJ354" s="192"/>
      <c r="AK354" s="192"/>
      <c r="AL354" s="192"/>
      <c r="AM354" s="192"/>
      <c r="AN354" s="192"/>
      <c r="AO354" s="192"/>
      <c r="AP354" s="223">
        <f>AP351*AP353</f>
        <v>46.584435564725474</v>
      </c>
      <c r="AQ354" s="200">
        <f t="shared" ref="AQ354" si="4872">AQ351*AQ353</f>
        <v>44.28592569443277</v>
      </c>
      <c r="AR354" s="200">
        <f t="shared" ref="AR354" si="4873">AR351*AR353</f>
        <v>41.957283792843484</v>
      </c>
      <c r="AS354" s="200">
        <f t="shared" ref="AS354" si="4874">AS351*AS353</f>
        <v>39.598072951657933</v>
      </c>
      <c r="AT354" s="200">
        <f t="shared" ref="AT354" si="4875">AT351*AT353</f>
        <v>22.324709984112101</v>
      </c>
      <c r="AU354" s="200">
        <f t="shared" ref="AU354" si="4876">AU351*AU353</f>
        <v>20.87169916886684</v>
      </c>
      <c r="AV354" s="200">
        <f t="shared" ref="AV354" si="4877">AV351*AV353</f>
        <v>19.399537696163431</v>
      </c>
      <c r="AW354" s="200">
        <f t="shared" ref="AW354" si="4878">AW351*AW353</f>
        <v>17.90794799808161</v>
      </c>
      <c r="AX354" s="200">
        <f t="shared" ref="AX354" si="4879">AX351*AX353</f>
        <v>16.396648511150616</v>
      </c>
      <c r="AY354" s="200">
        <f t="shared" ref="AY354" si="4880">AY351*AY353</f>
        <v>14.865353618806495</v>
      </c>
      <c r="AZ354" s="200">
        <f t="shared" ref="AZ354" si="4881">AZ351*AZ353</f>
        <v>13.313773593020718</v>
      </c>
      <c r="BA354" s="200">
        <f t="shared" ref="BA354" si="4882">BA351*BA353</f>
        <v>11.741614535088184</v>
      </c>
      <c r="BB354" s="200">
        <f t="shared" ref="BB354" si="4883">BB351*BB353</f>
        <v>10.148578315562487</v>
      </c>
      <c r="BC354" s="200">
        <f t="shared" ref="BC354" si="4884">BC351*BC353</f>
        <v>8.5343625133261956</v>
      </c>
      <c r="BD354" s="200">
        <f t="shared" ref="BD354" si="4885">BD351*BD353</f>
        <v>6.8986603537836517</v>
      </c>
      <c r="BE354" s="200">
        <f t="shared" ref="BE354" si="4886">BE351*BE353</f>
        <v>5.2411606461636842</v>
      </c>
      <c r="BF354" s="200">
        <f t="shared" ref="BF354" si="4887">BF351*BF353</f>
        <v>3.5615477199193939</v>
      </c>
      <c r="BG354" s="200">
        <f t="shared" ref="BG354" si="4888">BG351*BG353</f>
        <v>1.8595013602120274</v>
      </c>
      <c r="BH354" s="200">
        <f t="shared" ref="BH354" si="4889">BH351*BH353</f>
        <v>0.13469674246573438</v>
      </c>
      <c r="BI354" s="200">
        <f t="shared" ref="BI354" si="4890">BI351*BI353</f>
        <v>0</v>
      </c>
      <c r="BJ354" s="200">
        <f t="shared" ref="BJ354" si="4891">BJ351*BJ353</f>
        <v>0</v>
      </c>
      <c r="BK354" s="200">
        <f t="shared" ref="BK354" si="4892">BK351*BK353</f>
        <v>0</v>
      </c>
    </row>
    <row r="355" spans="1:63" ht="7.8" x14ac:dyDescent="0.15">
      <c r="A355" s="206" t="s">
        <v>97</v>
      </c>
      <c r="B355" s="192"/>
      <c r="C355" s="192"/>
      <c r="D355" s="192"/>
      <c r="E355" s="192"/>
      <c r="F355" s="192"/>
      <c r="G355" s="192"/>
      <c r="H355" s="192"/>
      <c r="I355" s="192"/>
      <c r="J355" s="192"/>
      <c r="K355" s="192"/>
      <c r="L355" s="192"/>
      <c r="M355" s="192"/>
      <c r="N355" s="192"/>
      <c r="O355" s="192"/>
      <c r="P355" s="192"/>
      <c r="Q355" s="192"/>
      <c r="R355" s="192"/>
      <c r="S355" s="192"/>
      <c r="T355" s="192"/>
      <c r="U355" s="192"/>
      <c r="V355" s="192"/>
      <c r="W355" s="192"/>
      <c r="X355" s="192"/>
      <c r="Y355" s="192"/>
      <c r="Z355" s="192"/>
      <c r="AA355" s="192"/>
      <c r="AB355" s="192"/>
      <c r="AC355" s="192"/>
      <c r="AD355" s="192"/>
      <c r="AE355" s="192"/>
      <c r="AF355" s="192"/>
      <c r="AG355" s="192"/>
      <c r="AH355" s="192"/>
      <c r="AI355" s="192"/>
      <c r="AJ355" s="192"/>
      <c r="AK355" s="192"/>
      <c r="AL355" s="192"/>
      <c r="AM355" s="192"/>
      <c r="AN355" s="192"/>
      <c r="AO355" s="192"/>
      <c r="AP355" s="223">
        <f>AP352*AP353</f>
        <v>146.21705606544754</v>
      </c>
      <c r="AQ355" s="200">
        <f>AQ352*AQ353</f>
        <v>148.32276444411008</v>
      </c>
      <c r="AR355" s="200">
        <f t="shared" ref="AR355:BK355" si="4893">AR352*AR353</f>
        <v>150.45879765556083</v>
      </c>
      <c r="AS355" s="200">
        <f t="shared" si="4893"/>
        <v>152.62559241529797</v>
      </c>
      <c r="AT355" s="200">
        <f t="shared" si="4893"/>
        <v>92.894155036841269</v>
      </c>
      <c r="AU355" s="200">
        <f t="shared" si="4893"/>
        <v>94.231946987065584</v>
      </c>
      <c r="AV355" s="200">
        <f t="shared" si="4893"/>
        <v>95.589004813613059</v>
      </c>
      <c r="AW355" s="200">
        <f t="shared" si="4893"/>
        <v>96.965605969185106</v>
      </c>
      <c r="AX355" s="200">
        <f t="shared" si="4893"/>
        <v>98.362031902148829</v>
      </c>
      <c r="AY355" s="200">
        <f t="shared" si="4893"/>
        <v>99.778568114079647</v>
      </c>
      <c r="AZ355" s="200">
        <f t="shared" si="4893"/>
        <v>101.21550421813252</v>
      </c>
      <c r="BA355" s="200">
        <f t="shared" si="4893"/>
        <v>102.67313399825392</v>
      </c>
      <c r="BB355" s="200">
        <f t="shared" si="4893"/>
        <v>104.15175546924625</v>
      </c>
      <c r="BC355" s="200">
        <f t="shared" si="4893"/>
        <v>105.65167093769774</v>
      </c>
      <c r="BD355" s="200">
        <f t="shared" si="4893"/>
        <v>107.17318706378927</v>
      </c>
      <c r="BE355" s="200">
        <f t="shared" si="4893"/>
        <v>108.71661492399167</v>
      </c>
      <c r="BF355" s="200">
        <f t="shared" si="4893"/>
        <v>110.2822700746658</v>
      </c>
      <c r="BG355" s="200">
        <f t="shared" si="4893"/>
        <v>111.8704726165786</v>
      </c>
      <c r="BH355" s="200">
        <f t="shared" si="4893"/>
        <v>113.48154726034809</v>
      </c>
      <c r="BI355" s="200">
        <f t="shared" si="4893"/>
        <v>0</v>
      </c>
      <c r="BJ355" s="200">
        <f t="shared" si="4893"/>
        <v>0</v>
      </c>
      <c r="BK355" s="200">
        <f t="shared" si="4893"/>
        <v>0</v>
      </c>
    </row>
    <row r="356" spans="1:63" ht="7.8" x14ac:dyDescent="0.15">
      <c r="A356" s="208" t="s">
        <v>203</v>
      </c>
      <c r="B356" s="192"/>
      <c r="C356" s="192"/>
      <c r="D356" s="192"/>
      <c r="E356" s="192"/>
      <c r="F356" s="192"/>
      <c r="G356" s="192"/>
      <c r="H356" s="192"/>
      <c r="I356" s="192"/>
      <c r="J356" s="192"/>
      <c r="K356" s="192"/>
      <c r="L356" s="192"/>
      <c r="M356" s="192"/>
      <c r="N356" s="192"/>
      <c r="O356" s="192"/>
      <c r="P356" s="192"/>
      <c r="Q356" s="192"/>
      <c r="R356" s="192"/>
      <c r="S356" s="192"/>
      <c r="T356" s="192"/>
      <c r="U356" s="192"/>
      <c r="V356" s="192"/>
      <c r="W356" s="192"/>
      <c r="X356" s="192"/>
      <c r="Y356" s="192"/>
      <c r="Z356" s="192"/>
      <c r="AA356" s="192"/>
      <c r="AB356" s="192"/>
      <c r="AC356" s="192"/>
      <c r="AD356" s="192"/>
      <c r="AE356" s="192"/>
      <c r="AF356" s="192"/>
      <c r="AG356" s="192"/>
      <c r="AH356" s="192"/>
      <c r="AI356" s="192"/>
      <c r="AJ356" s="192"/>
      <c r="AK356" s="192"/>
      <c r="AL356" s="192"/>
      <c r="AM356" s="192"/>
      <c r="AN356" s="192"/>
      <c r="AO356" s="192"/>
      <c r="AP356" s="224">
        <f>IF(AP348-101&lt;&gt;LoanSaleHeld,0,SUM($D355:AP355)*LoanSalePercent)</f>
        <v>0</v>
      </c>
      <c r="AQ356" s="225">
        <f>IF(AQ348-101&lt;&gt;LoanSaleHeld,0,SUM($D355:AQ355)*LoanSalePercent)</f>
        <v>0</v>
      </c>
      <c r="AR356" s="225">
        <f>IF(AR348-101&lt;&gt;LoanSaleHeld,0,SUM($D355:AR355)*LoanSalePercent)</f>
        <v>0</v>
      </c>
      <c r="AS356" s="225">
        <f>IF(AS348-101&lt;&gt;LoanSaleHeld,0,SUM($D355:AS355)*LoanSalePercent)</f>
        <v>239.04968423216656</v>
      </c>
      <c r="AT356" s="225">
        <f>IF(AT348-101&lt;&gt;LoanSaleHeld,0,SUM($D355:AT355)*LoanSalePercent)</f>
        <v>0</v>
      </c>
      <c r="AU356" s="225">
        <f>IF(AU348-101&lt;&gt;LoanSaleHeld,0,SUM($D355:AU355)*LoanSalePercent)</f>
        <v>0</v>
      </c>
      <c r="AV356" s="225">
        <f>IF(AV348-101&lt;&gt;LoanSaleHeld,0,SUM($D355:AV355)*LoanSalePercent)</f>
        <v>0</v>
      </c>
      <c r="AW356" s="225">
        <f>IF(AW348-101&lt;&gt;LoanSaleHeld,0,SUM($D355:AW355)*LoanSalePercent)</f>
        <v>0</v>
      </c>
      <c r="AX356" s="225">
        <f>IF(AX348-101&lt;&gt;LoanSaleHeld,0,SUM($D355:AX355)*LoanSalePercent)</f>
        <v>0</v>
      </c>
      <c r="AY356" s="225">
        <f>IF(AY348-101&lt;&gt;LoanSaleHeld,0,SUM($D355:AY355)*LoanSalePercent)</f>
        <v>0</v>
      </c>
      <c r="AZ356" s="225">
        <f>IF(AZ348-101&lt;&gt;LoanSaleHeld,0,SUM($D355:AZ355)*LoanSalePercent)</f>
        <v>0</v>
      </c>
      <c r="BA356" s="225">
        <f>IF(BA348-101&lt;&gt;LoanSaleHeld,0,SUM($D355:BA355)*LoanSalePercent)</f>
        <v>0</v>
      </c>
      <c r="BB356" s="225">
        <f>IF(BB348-101&lt;&gt;LoanSaleHeld,0,SUM($D355:BB355)*LoanSalePercent)</f>
        <v>0</v>
      </c>
      <c r="BC356" s="225">
        <f>IF(BC348-101&lt;&gt;LoanSaleHeld,0,SUM($D355:BC355)*LoanSalePercent)</f>
        <v>0</v>
      </c>
      <c r="BD356" s="225">
        <f>IF(BD348-101&lt;&gt;LoanSaleHeld,0,SUM($D355:BD355)*LoanSalePercent)</f>
        <v>0</v>
      </c>
      <c r="BE356" s="225">
        <f>IF(BE348-101&lt;&gt;LoanSaleHeld,0,SUM($D355:BE355)*LoanSalePercent)</f>
        <v>0</v>
      </c>
      <c r="BF356" s="225">
        <f>IF(BF348-101&lt;&gt;LoanSaleHeld,0,SUM($D355:BF355)*LoanSalePercent)</f>
        <v>0</v>
      </c>
      <c r="BG356" s="225">
        <f>IF(BG348-101&lt;&gt;LoanSaleHeld,0,SUM($D355:BG355)*LoanSalePercent)</f>
        <v>0</v>
      </c>
      <c r="BH356" s="225">
        <f>IF(BH348-101&lt;&gt;LoanSaleHeld,0,SUM($D355:BH355)*LoanSalePercent)</f>
        <v>0</v>
      </c>
      <c r="BI356" s="225">
        <f>IF(BI348-101&lt;&gt;LoanSaleHeld,0,SUM($D355:BI355)*LoanSalePercent)</f>
        <v>0</v>
      </c>
      <c r="BJ356" s="225">
        <f>IF(BJ348-101&lt;&gt;LoanSaleHeld,0,SUM($D355:BJ355)*LoanSalePercent)</f>
        <v>0</v>
      </c>
      <c r="BK356" s="225">
        <f>IF(BK348-101&lt;&gt;LoanSaleHeld,0,SUM($D355:BK355)*LoanSalePercent)</f>
        <v>0</v>
      </c>
    </row>
    <row r="357" spans="1:63" ht="7.8" x14ac:dyDescent="0.15">
      <c r="A357" s="204">
        <f t="shared" ref="A357" si="4894">A348+1</f>
        <v>40</v>
      </c>
      <c r="B357" s="192"/>
      <c r="C357" s="192"/>
      <c r="D357" s="192"/>
      <c r="E357" s="192"/>
      <c r="F357" s="192"/>
      <c r="G357" s="192"/>
      <c r="H357" s="192"/>
      <c r="I357" s="192"/>
      <c r="J357" s="192"/>
      <c r="K357" s="192"/>
      <c r="L357" s="192"/>
      <c r="M357" s="192"/>
      <c r="N357" s="192"/>
      <c r="O357" s="192"/>
      <c r="P357" s="192"/>
      <c r="Q357" s="192"/>
      <c r="R357" s="192"/>
      <c r="S357" s="192"/>
      <c r="T357" s="192"/>
      <c r="U357" s="192"/>
      <c r="V357" s="192"/>
      <c r="W357" s="192"/>
      <c r="X357" s="192"/>
      <c r="Y357" s="192"/>
      <c r="Z357" s="192"/>
      <c r="AA357" s="192"/>
      <c r="AB357" s="192"/>
      <c r="AC357" s="192"/>
      <c r="AD357" s="192"/>
      <c r="AE357" s="192"/>
      <c r="AF357" s="192"/>
      <c r="AG357" s="192"/>
      <c r="AH357" s="192"/>
      <c r="AI357" s="192"/>
      <c r="AJ357" s="192"/>
      <c r="AK357" s="192"/>
      <c r="AL357" s="192"/>
      <c r="AM357" s="192"/>
      <c r="AN357" s="192"/>
      <c r="AO357" s="192"/>
      <c r="AP357" s="192"/>
      <c r="AQ357" s="195">
        <v>101</v>
      </c>
      <c r="AR357" s="196">
        <f t="shared" ref="AR357" si="4895">IF(AR358=0,0,AQ357+1)</f>
        <v>102</v>
      </c>
      <c r="AS357" s="196">
        <f t="shared" ref="AS357" si="4896">IF(AS358=0,0,AR357+1)</f>
        <v>103</v>
      </c>
      <c r="AT357" s="196">
        <f t="shared" ref="AT357" si="4897">IF(AT358=0,0,AS357+1)</f>
        <v>104</v>
      </c>
      <c r="AU357" s="196">
        <f t="shared" ref="AU357" si="4898">IF(AU358=0,0,AT357+1)</f>
        <v>105</v>
      </c>
      <c r="AV357" s="196">
        <f t="shared" ref="AV357" si="4899">IF(AV358=0,0,AU357+1)</f>
        <v>106</v>
      </c>
      <c r="AW357" s="196">
        <f t="shared" ref="AW357" si="4900">IF(AW358=0,0,AV357+1)</f>
        <v>107</v>
      </c>
      <c r="AX357" s="196">
        <f t="shared" ref="AX357" si="4901">IF(AX358=0,0,AW357+1)</f>
        <v>108</v>
      </c>
      <c r="AY357" s="196">
        <f t="shared" ref="AY357" si="4902">IF(AY358=0,0,AX357+1)</f>
        <v>109</v>
      </c>
      <c r="AZ357" s="196">
        <f t="shared" ref="AZ357" si="4903">IF(AZ358=0,0,AY357+1)</f>
        <v>110</v>
      </c>
      <c r="BA357" s="196">
        <f t="shared" ref="BA357" si="4904">IF(BA358=0,0,AZ357+1)</f>
        <v>111</v>
      </c>
      <c r="BB357" s="196">
        <f t="shared" ref="BB357" si="4905">IF(BB358=0,0,BA357+1)</f>
        <v>112</v>
      </c>
      <c r="BC357" s="196">
        <f t="shared" ref="BC357" si="4906">IF(BC358=0,0,BB357+1)</f>
        <v>113</v>
      </c>
      <c r="BD357" s="196">
        <f t="shared" ref="BD357" si="4907">IF(BD358=0,0,BC357+1)</f>
        <v>114</v>
      </c>
      <c r="BE357" s="196">
        <f t="shared" ref="BE357" si="4908">IF(BE358=0,0,BD357+1)</f>
        <v>115</v>
      </c>
      <c r="BF357" s="196">
        <f t="shared" ref="BF357" si="4909">IF(BF358=0,0,BE357+1)</f>
        <v>116</v>
      </c>
      <c r="BG357" s="196">
        <f t="shared" ref="BG357" si="4910">IF(BG358=0,0,BF357+1)</f>
        <v>117</v>
      </c>
      <c r="BH357" s="196">
        <f t="shared" ref="BH357" si="4911">IF(BH358=0,0,BG357+1)</f>
        <v>118</v>
      </c>
      <c r="BI357" s="196">
        <f t="shared" ref="BI357" si="4912">IF(BI358=0,0,BH357+1)</f>
        <v>119</v>
      </c>
      <c r="BJ357" s="196">
        <f t="shared" ref="BJ357" si="4913">IF(BJ358=0,0,BI357+1)</f>
        <v>0</v>
      </c>
      <c r="BK357" s="196">
        <f t="shared" ref="BK357" si="4914">IF(BK358=0,0,BJ357+1)</f>
        <v>0</v>
      </c>
    </row>
    <row r="358" spans="1:63" ht="7.8" x14ac:dyDescent="0.15">
      <c r="A358" s="216" t="s">
        <v>178</v>
      </c>
      <c r="B358" s="192"/>
      <c r="C358" s="192"/>
      <c r="D358" s="192"/>
      <c r="E358" s="192"/>
      <c r="F358" s="192"/>
      <c r="G358" s="192"/>
      <c r="H358" s="192"/>
      <c r="I358" s="192"/>
      <c r="J358" s="192"/>
      <c r="K358" s="192"/>
      <c r="L358" s="192"/>
      <c r="M358" s="192"/>
      <c r="N358" s="192"/>
      <c r="O358" s="192"/>
      <c r="P358" s="192"/>
      <c r="Q358" s="192"/>
      <c r="R358" s="192"/>
      <c r="S358" s="192"/>
      <c r="T358" s="192"/>
      <c r="U358" s="192"/>
      <c r="V358" s="192"/>
      <c r="W358" s="192"/>
      <c r="X358" s="192"/>
      <c r="Y358" s="192"/>
      <c r="Z358" s="192"/>
      <c r="AA358" s="192"/>
      <c r="AB358" s="192"/>
      <c r="AC358" s="192"/>
      <c r="AD358" s="192"/>
      <c r="AE358" s="192"/>
      <c r="AF358" s="192"/>
      <c r="AG358" s="192"/>
      <c r="AH358" s="192"/>
      <c r="AI358" s="192"/>
      <c r="AJ358" s="192"/>
      <c r="AK358" s="192"/>
      <c r="AL358" s="192"/>
      <c r="AM358" s="192"/>
      <c r="AN358" s="192"/>
      <c r="AO358" s="192"/>
      <c r="AP358" s="192"/>
      <c r="AQ358" s="217">
        <f>LoanSize</f>
        <v>25</v>
      </c>
      <c r="AR358" s="215">
        <f>IF(AQ358-AQ361&lt;=0.1,0,AQ358-AQ361)</f>
        <v>23.79027212253634</v>
      </c>
      <c r="AS358" s="215">
        <f t="shared" ref="AS358:BK358" si="4915">IF(AR358-AR361&lt;=0.1,0,AR358-AR361)</f>
        <v>22.56189427362845</v>
      </c>
      <c r="AT358" s="215">
        <f t="shared" si="4915"/>
        <v>21.314578932883229</v>
      </c>
      <c r="AU358" s="215">
        <f t="shared" si="4915"/>
        <v>20.048034147301522</v>
      </c>
      <c r="AV358" s="215">
        <f t="shared" si="4915"/>
        <v>18.761963462942095</v>
      </c>
      <c r="AW358" s="215">
        <f t="shared" si="4915"/>
        <v>17.456065855532128</v>
      </c>
      <c r="AX358" s="215">
        <f t="shared" si="4915"/>
        <v>16.130035660007923</v>
      </c>
      <c r="AY358" s="215">
        <f t="shared" si="4915"/>
        <v>14.783562498969387</v>
      </c>
      <c r="AZ358" s="215">
        <f t="shared" si="4915"/>
        <v>13.416331210031506</v>
      </c>
      <c r="BA358" s="215">
        <f t="shared" si="4915"/>
        <v>12.028021772055833</v>
      </c>
      <c r="BB358" s="215">
        <f t="shared" si="4915"/>
        <v>10.618309230244702</v>
      </c>
      <c r="BC358" s="215">
        <f t="shared" si="4915"/>
        <v>9.1868636200806488</v>
      </c>
      <c r="BD358" s="215">
        <f t="shared" si="4915"/>
        <v>7.7333498900932334</v>
      </c>
      <c r="BE358" s="215">
        <f t="shared" si="4915"/>
        <v>6.2574278234351794</v>
      </c>
      <c r="BF358" s="215">
        <f t="shared" si="4915"/>
        <v>4.7587519582494799</v>
      </c>
      <c r="BG358" s="215">
        <f t="shared" si="4915"/>
        <v>3.2369715068088345</v>
      </c>
      <c r="BH358" s="215">
        <f t="shared" si="4915"/>
        <v>1.6917302734084789</v>
      </c>
      <c r="BI358" s="215">
        <f t="shared" si="4915"/>
        <v>0.12266657099320111</v>
      </c>
      <c r="BJ358" s="215">
        <f t="shared" si="4915"/>
        <v>0</v>
      </c>
      <c r="BK358" s="215">
        <f t="shared" si="4915"/>
        <v>0</v>
      </c>
    </row>
    <row r="359" spans="1:63" ht="7.8" x14ac:dyDescent="0.15">
      <c r="A359" s="218" t="s">
        <v>179</v>
      </c>
      <c r="B359" s="192"/>
      <c r="C359" s="192"/>
      <c r="D359" s="192"/>
      <c r="E359" s="192"/>
      <c r="F359" s="192"/>
      <c r="G359" s="192"/>
      <c r="H359" s="192"/>
      <c r="I359" s="192"/>
      <c r="J359" s="192"/>
      <c r="K359" s="192"/>
      <c r="L359" s="192"/>
      <c r="M359" s="192"/>
      <c r="N359" s="192"/>
      <c r="O359" s="192"/>
      <c r="P359" s="192"/>
      <c r="Q359" s="192"/>
      <c r="R359" s="192"/>
      <c r="S359" s="192"/>
      <c r="T359" s="192"/>
      <c r="U359" s="192"/>
      <c r="V359" s="192"/>
      <c r="W359" s="192"/>
      <c r="X359" s="192"/>
      <c r="Y359" s="192"/>
      <c r="Z359" s="192"/>
      <c r="AA359" s="192"/>
      <c r="AB359" s="192"/>
      <c r="AC359" s="192"/>
      <c r="AD359" s="192"/>
      <c r="AE359" s="192"/>
      <c r="AF359" s="192"/>
      <c r="AG359" s="192"/>
      <c r="AH359" s="192"/>
      <c r="AI359" s="192"/>
      <c r="AJ359" s="192"/>
      <c r="AK359" s="192"/>
      <c r="AL359" s="192"/>
      <c r="AM359" s="192"/>
      <c r="AN359" s="192"/>
      <c r="AO359" s="192"/>
      <c r="AP359" s="192"/>
      <c r="AQ359" s="219">
        <f>IF(AQ358=0,0,PMT(INDEX(LoanCohortRate,1),LoanTerm, -LoanSize))</f>
        <v>1.5951445441303251</v>
      </c>
      <c r="AR359" s="222">
        <f t="shared" ref="AR359" si="4916">IF(AR358=0,0, AQ359)</f>
        <v>1.5951445441303251</v>
      </c>
      <c r="AS359" s="222">
        <f t="shared" ref="AS359" si="4917">IF(AS358=0,0, AR359)</f>
        <v>1.5951445441303251</v>
      </c>
      <c r="AT359" s="222">
        <f t="shared" ref="AT359" si="4918">IF(AT358=0,0, AS359)</f>
        <v>1.5951445441303251</v>
      </c>
      <c r="AU359" s="222">
        <f t="shared" ref="AU359" si="4919">IF(AU358=0,0, AT359)</f>
        <v>1.5951445441303251</v>
      </c>
      <c r="AV359" s="222">
        <f t="shared" ref="AV359" si="4920">IF(AV358=0,0, AU359)</f>
        <v>1.5951445441303251</v>
      </c>
      <c r="AW359" s="222">
        <f t="shared" ref="AW359" si="4921">IF(AW358=0,0, AV359)</f>
        <v>1.5951445441303251</v>
      </c>
      <c r="AX359" s="222">
        <f t="shared" ref="AX359" si="4922">IF(AX358=0,0, AW359)</f>
        <v>1.5951445441303251</v>
      </c>
      <c r="AY359" s="222">
        <f t="shared" ref="AY359" si="4923">IF(AY358=0,0, AX359)</f>
        <v>1.5951445441303251</v>
      </c>
      <c r="AZ359" s="222">
        <f t="shared" ref="AZ359" si="4924">IF(AZ358=0,0, AY359)</f>
        <v>1.5951445441303251</v>
      </c>
      <c r="BA359" s="222">
        <f t="shared" ref="BA359" si="4925">IF(BA358=0,0, AZ359)</f>
        <v>1.5951445441303251</v>
      </c>
      <c r="BB359" s="222">
        <f t="shared" ref="BB359" si="4926">IF(BB358=0,0, BA359)</f>
        <v>1.5951445441303251</v>
      </c>
      <c r="BC359" s="222">
        <f t="shared" ref="BC359" si="4927">IF(BC358=0,0, BB359)</f>
        <v>1.5951445441303251</v>
      </c>
      <c r="BD359" s="222">
        <f t="shared" ref="BD359" si="4928">IF(BD358=0,0, BC359)</f>
        <v>1.5951445441303251</v>
      </c>
      <c r="BE359" s="222">
        <f t="shared" ref="BE359" si="4929">IF(BE358=0,0, BD359)</f>
        <v>1.5951445441303251</v>
      </c>
      <c r="BF359" s="222">
        <f t="shared" ref="BF359" si="4930">IF(BF358=0,0, BE359)</f>
        <v>1.5951445441303251</v>
      </c>
      <c r="BG359" s="222">
        <f t="shared" ref="BG359" si="4931">IF(BG358=0,0, BF359)</f>
        <v>1.5951445441303251</v>
      </c>
      <c r="BH359" s="222">
        <f t="shared" ref="BH359" si="4932">IF(BH358=0,0, BG359)</f>
        <v>1.5951445441303251</v>
      </c>
      <c r="BI359" s="222">
        <f t="shared" ref="BI359" si="4933">IF(BI358=0,0, BH359)</f>
        <v>1.5951445441303251</v>
      </c>
      <c r="BJ359" s="222">
        <f t="shared" ref="BJ359" si="4934">IF(BJ358=0,0, BI359)</f>
        <v>0</v>
      </c>
      <c r="BK359" s="222">
        <f t="shared" ref="BK359" si="4935">IF(BK358=0,0, BJ359)</f>
        <v>0</v>
      </c>
    </row>
    <row r="360" spans="1:63" ht="7.8" x14ac:dyDescent="0.15">
      <c r="A360" s="218" t="s">
        <v>180</v>
      </c>
      <c r="B360" s="192"/>
      <c r="C360" s="192"/>
      <c r="D360" s="192"/>
      <c r="E360" s="192"/>
      <c r="F360" s="192"/>
      <c r="G360" s="192"/>
      <c r="H360" s="192"/>
      <c r="I360" s="192"/>
      <c r="J360" s="192"/>
      <c r="K360" s="192"/>
      <c r="L360" s="192"/>
      <c r="M360" s="192"/>
      <c r="N360" s="192"/>
      <c r="O360" s="192"/>
      <c r="P360" s="192"/>
      <c r="Q360" s="192"/>
      <c r="R360" s="192"/>
      <c r="S360" s="192"/>
      <c r="T360" s="192"/>
      <c r="U360" s="192"/>
      <c r="V360" s="192"/>
      <c r="W360" s="192"/>
      <c r="X360" s="192"/>
      <c r="Y360" s="192"/>
      <c r="Z360" s="192"/>
      <c r="AA360" s="192"/>
      <c r="AB360" s="192"/>
      <c r="AC360" s="192"/>
      <c r="AD360" s="192"/>
      <c r="AE360" s="192"/>
      <c r="AF360" s="192"/>
      <c r="AG360" s="192"/>
      <c r="AH360" s="192"/>
      <c r="AI360" s="192"/>
      <c r="AJ360" s="192"/>
      <c r="AK360" s="192"/>
      <c r="AL360" s="192"/>
      <c r="AM360" s="192"/>
      <c r="AN360" s="192"/>
      <c r="AO360" s="192"/>
      <c r="AP360" s="192"/>
      <c r="AQ360" s="220" cm="1">
        <f t="array" ref="AQ360">AQ358*INDEX(LoanCohortRate,$A357)</f>
        <v>0.38541666666666669</v>
      </c>
      <c r="AR360" s="221" cm="1">
        <f t="array" ref="AR360">AR358*INDEX(LoanCohortRate,$A357)</f>
        <v>0.36676669522243527</v>
      </c>
      <c r="AS360" s="221" cm="1">
        <f t="array" ref="AS360">AS358*INDEX(LoanCohortRate,$A357)</f>
        <v>0.34782920338510526</v>
      </c>
      <c r="AT360" s="221" cm="1">
        <f t="array" ref="AT360">AT358*INDEX(LoanCohortRate,$A357)</f>
        <v>0.32859975854861645</v>
      </c>
      <c r="AU360" s="221" cm="1">
        <f t="array" ref="AU360">AU358*INDEX(LoanCohortRate,$A357)</f>
        <v>0.30907385977089846</v>
      </c>
      <c r="AV360" s="221" cm="1">
        <f t="array" ref="AV360">AV358*INDEX(LoanCohortRate,$A357)</f>
        <v>0.28924693672035728</v>
      </c>
      <c r="AW360" s="221" cm="1">
        <f t="array" ref="AW360">AW358*INDEX(LoanCohortRate,$A357)</f>
        <v>0.26911434860612032</v>
      </c>
      <c r="AX360" s="221" cm="1">
        <f t="array" ref="AX360">AX358*INDEX(LoanCohortRate,$A357)</f>
        <v>0.24867138309178882</v>
      </c>
      <c r="AY360" s="221" cm="1">
        <f t="array" ref="AY360">AY358*INDEX(LoanCohortRate,$A357)</f>
        <v>0.22791325519244471</v>
      </c>
      <c r="AZ360" s="221" cm="1">
        <f t="array" ref="AZ360">AZ358*INDEX(LoanCohortRate,$A357)</f>
        <v>0.20683510615465239</v>
      </c>
      <c r="BA360" s="221" cm="1">
        <f t="array" ref="BA360">BA358*INDEX(LoanCohortRate,$A357)</f>
        <v>0.1854320023191941</v>
      </c>
      <c r="BB360" s="221" cm="1">
        <f t="array" ref="BB360">BB358*INDEX(LoanCohortRate,$A357)</f>
        <v>0.1636989339662725</v>
      </c>
      <c r="BC360" s="221" cm="1">
        <f t="array" ref="BC360">BC358*INDEX(LoanCohortRate,$A357)</f>
        <v>0.14163081414291001</v>
      </c>
      <c r="BD360" s="221" cm="1">
        <f t="array" ref="BD360">BD358*INDEX(LoanCohortRate,$A357)</f>
        <v>0.11922247747227069</v>
      </c>
      <c r="BE360" s="221" cm="1">
        <f t="array" ref="BE360">BE358*INDEX(LoanCohortRate,$A357)</f>
        <v>9.6468678944625685E-2</v>
      </c>
      <c r="BF360" s="221" cm="1">
        <f t="array" ref="BF360">BF358*INDEX(LoanCohortRate,$A357)</f>
        <v>7.3364092689679486E-2</v>
      </c>
      <c r="BG360" s="221" cm="1">
        <f t="array" ref="BG360">BG358*INDEX(LoanCohortRate,$A357)</f>
        <v>4.9903310729969536E-2</v>
      </c>
      <c r="BH360" s="221" cm="1">
        <f t="array" ref="BH360">BH358*INDEX(LoanCohortRate,$A357)</f>
        <v>2.6080841715047383E-2</v>
      </c>
      <c r="BI360" s="221" cm="1">
        <f t="array" ref="BI360">BI358*INDEX(LoanCohortRate,$A357)</f>
        <v>1.8911096361451838E-3</v>
      </c>
      <c r="BJ360" s="221" cm="1">
        <f t="array" ref="BJ360">BJ358*INDEX(LoanCohortRate,$A357)</f>
        <v>0</v>
      </c>
      <c r="BK360" s="221" cm="1">
        <f t="array" ref="BK360">BK358*INDEX(LoanCohortRate,$A357)</f>
        <v>0</v>
      </c>
    </row>
    <row r="361" spans="1:63" ht="7.8" x14ac:dyDescent="0.15">
      <c r="A361" s="218" t="s">
        <v>177</v>
      </c>
      <c r="B361" s="192"/>
      <c r="C361" s="192"/>
      <c r="D361" s="192"/>
      <c r="E361" s="192"/>
      <c r="F361" s="192"/>
      <c r="G361" s="192"/>
      <c r="H361" s="192"/>
      <c r="I361" s="192"/>
      <c r="J361" s="192"/>
      <c r="K361" s="192"/>
      <c r="L361" s="192"/>
      <c r="M361" s="192"/>
      <c r="N361" s="192"/>
      <c r="O361" s="192"/>
      <c r="P361" s="192"/>
      <c r="Q361" s="192"/>
      <c r="R361" s="192"/>
      <c r="S361" s="192"/>
      <c r="T361" s="192"/>
      <c r="U361" s="192"/>
      <c r="V361" s="192"/>
      <c r="W361" s="192"/>
      <c r="X361" s="192"/>
      <c r="Y361" s="192"/>
      <c r="Z361" s="192"/>
      <c r="AA361" s="192"/>
      <c r="AB361" s="192"/>
      <c r="AC361" s="192"/>
      <c r="AD361" s="192"/>
      <c r="AE361" s="192"/>
      <c r="AF361" s="192"/>
      <c r="AG361" s="192"/>
      <c r="AH361" s="192"/>
      <c r="AI361" s="192"/>
      <c r="AJ361" s="192"/>
      <c r="AK361" s="192"/>
      <c r="AL361" s="192"/>
      <c r="AM361" s="192"/>
      <c r="AN361" s="192"/>
      <c r="AO361" s="192"/>
      <c r="AP361" s="192"/>
      <c r="AQ361" s="219">
        <f>AQ359-AQ360</f>
        <v>1.2097278774636584</v>
      </c>
      <c r="AR361" s="222">
        <f t="shared" ref="AR361:BK361" si="4936">AR359-AR360</f>
        <v>1.2283778489078898</v>
      </c>
      <c r="AS361" s="222">
        <f t="shared" si="4936"/>
        <v>1.24731534074522</v>
      </c>
      <c r="AT361" s="222">
        <f t="shared" si="4936"/>
        <v>1.2665447855817087</v>
      </c>
      <c r="AU361" s="222">
        <f t="shared" si="4936"/>
        <v>1.2860706843594267</v>
      </c>
      <c r="AV361" s="222">
        <f t="shared" si="4936"/>
        <v>1.305897607409968</v>
      </c>
      <c r="AW361" s="222">
        <f t="shared" si="4936"/>
        <v>1.3260301955242049</v>
      </c>
      <c r="AX361" s="222">
        <f t="shared" si="4936"/>
        <v>1.3464731610385363</v>
      </c>
      <c r="AY361" s="222">
        <f t="shared" si="4936"/>
        <v>1.3672312889378804</v>
      </c>
      <c r="AZ361" s="222">
        <f t="shared" si="4936"/>
        <v>1.3883094379756726</v>
      </c>
      <c r="BA361" s="222">
        <f t="shared" si="4936"/>
        <v>1.4097125418111309</v>
      </c>
      <c r="BB361" s="222">
        <f t="shared" si="4936"/>
        <v>1.4314456101640527</v>
      </c>
      <c r="BC361" s="222">
        <f t="shared" si="4936"/>
        <v>1.453513729987415</v>
      </c>
      <c r="BD361" s="222">
        <f t="shared" si="4936"/>
        <v>1.4759220666580544</v>
      </c>
      <c r="BE361" s="222">
        <f t="shared" si="4936"/>
        <v>1.4986758651856995</v>
      </c>
      <c r="BF361" s="222">
        <f t="shared" si="4936"/>
        <v>1.5217804514406457</v>
      </c>
      <c r="BG361" s="222">
        <f t="shared" si="4936"/>
        <v>1.5452412334003556</v>
      </c>
      <c r="BH361" s="222">
        <f t="shared" si="4936"/>
        <v>1.5690637024152778</v>
      </c>
      <c r="BI361" s="222">
        <f t="shared" si="4936"/>
        <v>1.59325343449418</v>
      </c>
      <c r="BJ361" s="222">
        <f t="shared" si="4936"/>
        <v>0</v>
      </c>
      <c r="BK361" s="222">
        <f t="shared" si="4936"/>
        <v>0</v>
      </c>
    </row>
    <row r="362" spans="1:63" ht="7.8" x14ac:dyDescent="0.15">
      <c r="A362" s="205" t="s">
        <v>7</v>
      </c>
      <c r="B362" s="192"/>
      <c r="C362" s="192"/>
      <c r="D362" s="192"/>
      <c r="E362" s="192"/>
      <c r="F362" s="192"/>
      <c r="G362" s="192"/>
      <c r="H362" s="192"/>
      <c r="I362" s="192"/>
      <c r="J362" s="192"/>
      <c r="K362" s="192"/>
      <c r="L362" s="192"/>
      <c r="M362" s="192"/>
      <c r="N362" s="192"/>
      <c r="O362" s="192"/>
      <c r="P362" s="192"/>
      <c r="Q362" s="192"/>
      <c r="R362" s="192"/>
      <c r="S362" s="192"/>
      <c r="T362" s="192"/>
      <c r="U362" s="192"/>
      <c r="V362" s="192"/>
      <c r="W362" s="192"/>
      <c r="X362" s="192"/>
      <c r="Y362" s="192"/>
      <c r="Z362" s="192"/>
      <c r="AA362" s="192"/>
      <c r="AB362" s="192"/>
      <c r="AC362" s="192"/>
      <c r="AD362" s="192"/>
      <c r="AE362" s="192"/>
      <c r="AF362" s="192"/>
      <c r="AG362" s="192"/>
      <c r="AH362" s="192"/>
      <c r="AI362" s="192"/>
      <c r="AJ362" s="192"/>
      <c r="AK362" s="192"/>
      <c r="AL362" s="192"/>
      <c r="AM362" s="192"/>
      <c r="AN362" s="192"/>
      <c r="AO362" s="192"/>
      <c r="AP362" s="192"/>
      <c r="AQ362" s="214" cm="1">
        <f t="array" ref="AQ362">INDEX(LoanOriginations,$A357)</f>
        <v>121.47206333201927</v>
      </c>
      <c r="AR362" s="199">
        <f t="shared" ref="AR362:BK362" si="4937">AQ362*(1-MitigateDelinquency*MitigateChargeoff)  *  IF(AR357=0,0,IF(AR357-102=LoanSaleHeld,0.6,1))</f>
        <v>121.35059126868725</v>
      </c>
      <c r="AS362" s="199">
        <f t="shared" si="4937"/>
        <v>121.22924067741856</v>
      </c>
      <c r="AT362" s="199">
        <f t="shared" si="4937"/>
        <v>121.10801143674114</v>
      </c>
      <c r="AU362" s="199">
        <f t="shared" si="4937"/>
        <v>72.592142055182634</v>
      </c>
      <c r="AV362" s="199">
        <f t="shared" si="4937"/>
        <v>72.519549913127449</v>
      </c>
      <c r="AW362" s="199">
        <f t="shared" si="4937"/>
        <v>72.447030363214324</v>
      </c>
      <c r="AX362" s="199">
        <f t="shared" si="4937"/>
        <v>72.374583332851117</v>
      </c>
      <c r="AY362" s="199">
        <f t="shared" si="4937"/>
        <v>72.302208749518272</v>
      </c>
      <c r="AZ362" s="199">
        <f t="shared" si="4937"/>
        <v>72.229906540768752</v>
      </c>
      <c r="BA362" s="199">
        <f t="shared" si="4937"/>
        <v>72.157676634227983</v>
      </c>
      <c r="BB362" s="199">
        <f t="shared" si="4937"/>
        <v>72.085518957593749</v>
      </c>
      <c r="BC362" s="199">
        <f t="shared" si="4937"/>
        <v>72.013433438636156</v>
      </c>
      <c r="BD362" s="199">
        <f t="shared" si="4937"/>
        <v>71.941420005197514</v>
      </c>
      <c r="BE362" s="199">
        <f t="shared" si="4937"/>
        <v>71.869478585192311</v>
      </c>
      <c r="BF362" s="199">
        <f t="shared" si="4937"/>
        <v>71.797609106607112</v>
      </c>
      <c r="BG362" s="199">
        <f t="shared" si="4937"/>
        <v>71.725811497500501</v>
      </c>
      <c r="BH362" s="199">
        <f t="shared" si="4937"/>
        <v>71.654085686003</v>
      </c>
      <c r="BI362" s="199">
        <f t="shared" si="4937"/>
        <v>71.582431600316994</v>
      </c>
      <c r="BJ362" s="199">
        <f t="shared" si="4937"/>
        <v>0</v>
      </c>
      <c r="BK362" s="199">
        <f t="shared" si="4937"/>
        <v>0</v>
      </c>
    </row>
    <row r="363" spans="1:63" ht="7.8" x14ac:dyDescent="0.15">
      <c r="A363" s="207" t="s">
        <v>96</v>
      </c>
      <c r="B363" s="192"/>
      <c r="C363" s="192"/>
      <c r="D363" s="192"/>
      <c r="E363" s="192"/>
      <c r="F363" s="192"/>
      <c r="G363" s="192"/>
      <c r="H363" s="192"/>
      <c r="I363" s="192"/>
      <c r="J363" s="192"/>
      <c r="K363" s="192"/>
      <c r="L363" s="192"/>
      <c r="M363" s="192"/>
      <c r="N363" s="192"/>
      <c r="O363" s="192"/>
      <c r="P363" s="192"/>
      <c r="Q363" s="192"/>
      <c r="R363" s="192"/>
      <c r="S363" s="192"/>
      <c r="T363" s="192"/>
      <c r="U363" s="192"/>
      <c r="V363" s="192"/>
      <c r="W363" s="192"/>
      <c r="X363" s="192"/>
      <c r="Y363" s="192"/>
      <c r="Z363" s="192"/>
      <c r="AA363" s="192"/>
      <c r="AB363" s="192"/>
      <c r="AC363" s="192"/>
      <c r="AD363" s="192"/>
      <c r="AE363" s="192"/>
      <c r="AF363" s="192"/>
      <c r="AG363" s="192"/>
      <c r="AH363" s="192"/>
      <c r="AI363" s="192"/>
      <c r="AJ363" s="192"/>
      <c r="AK363" s="192"/>
      <c r="AL363" s="192"/>
      <c r="AM363" s="192"/>
      <c r="AN363" s="192"/>
      <c r="AO363" s="192"/>
      <c r="AP363" s="192"/>
      <c r="AQ363" s="223">
        <f>AQ360*AQ362</f>
        <v>46.817357742549099</v>
      </c>
      <c r="AR363" s="200">
        <f t="shared" ref="AR363" si="4938">AR360*AR362</f>
        <v>44.507355322904935</v>
      </c>
      <c r="AS363" s="200">
        <f t="shared" ref="AS363" si="4939">AS360*AS362</f>
        <v>42.167070211807697</v>
      </c>
      <c r="AT363" s="200">
        <f t="shared" ref="AT363" si="4940">AT360*AT362</f>
        <v>39.796063316416216</v>
      </c>
      <c r="AU363" s="200">
        <f t="shared" ref="AU363" si="4941">AU360*AU362</f>
        <v>22.436333534032659</v>
      </c>
      <c r="AV363" s="200">
        <f t="shared" ref="AV363" si="4942">AV360*AV362</f>
        <v>20.976057664711167</v>
      </c>
      <c r="AW363" s="200">
        <f t="shared" ref="AW363" si="4943">AW360*AW362</f>
        <v>19.496535384644243</v>
      </c>
      <c r="AX363" s="200">
        <f t="shared" ref="AX363" si="4944">AX360*AX362</f>
        <v>17.997487738072014</v>
      </c>
      <c r="AY363" s="200">
        <f t="shared" ref="AY363" si="4945">AY360*AY362</f>
        <v>16.478631753706367</v>
      </c>
      <c r="AZ363" s="200">
        <f t="shared" ref="AZ363" si="4946">AZ360*AZ362</f>
        <v>14.939680386900527</v>
      </c>
      <c r="BA363" s="200">
        <f t="shared" ref="BA363" si="4947">BA360*BA362</f>
        <v>13.380342460985821</v>
      </c>
      <c r="BB363" s="200">
        <f t="shared" ref="BB363" si="4948">BB360*BB362</f>
        <v>11.800322607763624</v>
      </c>
      <c r="BC363" s="200">
        <f t="shared" ref="BC363" si="4949">BC360*BC362</f>
        <v>10.199321207140299</v>
      </c>
      <c r="BD363" s="200">
        <f t="shared" ref="BD363" si="4950">BD360*BD362</f>
        <v>8.577034325892825</v>
      </c>
      <c r="BE363" s="200">
        <f t="shared" ref="BE363" si="4951">BE360*BE362</f>
        <v>6.9331536555525686</v>
      </c>
      <c r="BF363" s="200">
        <f t="shared" ref="BF363" si="4952">BF360*BF362</f>
        <v>5.2673664493945003</v>
      </c>
      <c r="BG363" s="200">
        <f t="shared" ref="BG363" si="4953">BG360*BG362</f>
        <v>3.5793554585189891</v>
      </c>
      <c r="BH363" s="200">
        <f t="shared" ref="BH363" si="4954">BH360*BH362</f>
        <v>1.8687988670130866</v>
      </c>
      <c r="BI363" s="200">
        <f t="shared" ref="BI363" si="4955">BI360*BI362</f>
        <v>0.13537022617806299</v>
      </c>
      <c r="BJ363" s="200">
        <f t="shared" ref="BJ363" si="4956">BJ360*BJ362</f>
        <v>0</v>
      </c>
      <c r="BK363" s="200">
        <f t="shared" ref="BK363" si="4957">BK360*BK362</f>
        <v>0</v>
      </c>
    </row>
    <row r="364" spans="1:63" ht="7.8" x14ac:dyDescent="0.15">
      <c r="A364" s="206" t="s">
        <v>97</v>
      </c>
      <c r="B364" s="192"/>
      <c r="C364" s="192"/>
      <c r="D364" s="192"/>
      <c r="E364" s="192"/>
      <c r="F364" s="192"/>
      <c r="G364" s="192"/>
      <c r="H364" s="192"/>
      <c r="I364" s="192"/>
      <c r="J364" s="192"/>
      <c r="K364" s="192"/>
      <c r="L364" s="192"/>
      <c r="M364" s="192"/>
      <c r="N364" s="192"/>
      <c r="O364" s="192"/>
      <c r="P364" s="192"/>
      <c r="Q364" s="192"/>
      <c r="R364" s="192"/>
      <c r="S364" s="192"/>
      <c r="T364" s="192"/>
      <c r="U364" s="192"/>
      <c r="V364" s="192"/>
      <c r="W364" s="192"/>
      <c r="X364" s="192"/>
      <c r="Y364" s="192"/>
      <c r="Z364" s="192"/>
      <c r="AA364" s="192"/>
      <c r="AB364" s="192"/>
      <c r="AC364" s="192"/>
      <c r="AD364" s="192"/>
      <c r="AE364" s="192"/>
      <c r="AF364" s="192"/>
      <c r="AG364" s="192"/>
      <c r="AH364" s="192"/>
      <c r="AI364" s="192"/>
      <c r="AJ364" s="192"/>
      <c r="AK364" s="192"/>
      <c r="AL364" s="192"/>
      <c r="AM364" s="192"/>
      <c r="AN364" s="192"/>
      <c r="AO364" s="192"/>
      <c r="AP364" s="192"/>
      <c r="AQ364" s="223">
        <f>AQ361*AQ362</f>
        <v>146.94814134577476</v>
      </c>
      <c r="AR364" s="200">
        <f>AR361*AR362</f>
        <v>149.06437826633061</v>
      </c>
      <c r="AS364" s="200">
        <f t="shared" ref="AS364:BK364" si="4958">AS361*AS362</f>
        <v>151.21109164383861</v>
      </c>
      <c r="AT364" s="200">
        <f t="shared" si="4958"/>
        <v>153.38872037737443</v>
      </c>
      <c r="AU364" s="200">
        <f t="shared" si="4958"/>
        <v>93.358625812025451</v>
      </c>
      <c r="AV364" s="200">
        <f t="shared" si="4958"/>
        <v>94.703106722000882</v>
      </c>
      <c r="AW364" s="200">
        <f t="shared" si="4958"/>
        <v>96.066949837681094</v>
      </c>
      <c r="AX364" s="200">
        <f t="shared" si="4958"/>
        <v>97.450433999031006</v>
      </c>
      <c r="AY364" s="200">
        <f t="shared" si="4958"/>
        <v>98.853842061659563</v>
      </c>
      <c r="AZ364" s="200">
        <f t="shared" si="4958"/>
        <v>100.27746095465002</v>
      </c>
      <c r="BA364" s="200">
        <f t="shared" si="4958"/>
        <v>101.72158173922318</v>
      </c>
      <c r="BB364" s="200">
        <f t="shared" si="4958"/>
        <v>103.18649966824518</v>
      </c>
      <c r="BC364" s="200">
        <f t="shared" si="4958"/>
        <v>104.67251424659247</v>
      </c>
      <c r="BD364" s="200">
        <f t="shared" si="4958"/>
        <v>106.17992929238621</v>
      </c>
      <c r="BE364" s="200">
        <f t="shared" si="4958"/>
        <v>107.7090529991082</v>
      </c>
      <c r="BF364" s="200">
        <f t="shared" si="4958"/>
        <v>109.26019799861159</v>
      </c>
      <c r="BG364" s="200">
        <f t="shared" si="4958"/>
        <v>110.83368142503907</v>
      </c>
      <c r="BH364" s="200">
        <f t="shared" si="4958"/>
        <v>112.42982497966143</v>
      </c>
      <c r="BI364" s="200">
        <f t="shared" si="4958"/>
        <v>114.04895499664977</v>
      </c>
      <c r="BJ364" s="200">
        <f t="shared" si="4958"/>
        <v>0</v>
      </c>
      <c r="BK364" s="200">
        <f t="shared" si="4958"/>
        <v>0</v>
      </c>
    </row>
    <row r="365" spans="1:63" ht="7.8" x14ac:dyDescent="0.15">
      <c r="A365" s="208" t="s">
        <v>203</v>
      </c>
      <c r="B365" s="192"/>
      <c r="C365" s="192"/>
      <c r="D365" s="192"/>
      <c r="E365" s="192"/>
      <c r="F365" s="192"/>
      <c r="G365" s="192"/>
      <c r="H365" s="192"/>
      <c r="I365" s="192"/>
      <c r="J365" s="192"/>
      <c r="K365" s="192"/>
      <c r="L365" s="192"/>
      <c r="M365" s="192"/>
      <c r="N365" s="192"/>
      <c r="O365" s="192"/>
      <c r="P365" s="192"/>
      <c r="Q365" s="192"/>
      <c r="R365" s="192"/>
      <c r="S365" s="192"/>
      <c r="T365" s="192"/>
      <c r="U365" s="192"/>
      <c r="V365" s="192"/>
      <c r="W365" s="192"/>
      <c r="X365" s="192"/>
      <c r="Y365" s="192"/>
      <c r="Z365" s="192"/>
      <c r="AA365" s="192"/>
      <c r="AB365" s="192"/>
      <c r="AC365" s="192"/>
      <c r="AD365" s="192"/>
      <c r="AE365" s="192"/>
      <c r="AF365" s="192"/>
      <c r="AG365" s="192"/>
      <c r="AH365" s="192"/>
      <c r="AI365" s="192"/>
      <c r="AJ365" s="192"/>
      <c r="AK365" s="192"/>
      <c r="AL365" s="192"/>
      <c r="AM365" s="192"/>
      <c r="AN365" s="192"/>
      <c r="AO365" s="192"/>
      <c r="AP365" s="192"/>
      <c r="AQ365" s="224">
        <f>IF(AQ357-101&lt;&gt;LoanSaleHeld,0,SUM($D364:AQ364)*LoanSalePercent)</f>
        <v>0</v>
      </c>
      <c r="AR365" s="225">
        <f>IF(AR357-101&lt;&gt;LoanSaleHeld,0,SUM($D364:AR364)*LoanSalePercent)</f>
        <v>0</v>
      </c>
      <c r="AS365" s="225">
        <f>IF(AS357-101&lt;&gt;LoanSaleHeld,0,SUM($D364:AS364)*LoanSalePercent)</f>
        <v>0</v>
      </c>
      <c r="AT365" s="225">
        <f>IF(AT357-101&lt;&gt;LoanSaleHeld,0,SUM($D364:AT364)*LoanSalePercent)</f>
        <v>240.24493265332737</v>
      </c>
      <c r="AU365" s="225">
        <f>IF(AU357-101&lt;&gt;LoanSaleHeld,0,SUM($D364:AU364)*LoanSalePercent)</f>
        <v>0</v>
      </c>
      <c r="AV365" s="225">
        <f>IF(AV357-101&lt;&gt;LoanSaleHeld,0,SUM($D364:AV364)*LoanSalePercent)</f>
        <v>0</v>
      </c>
      <c r="AW365" s="225">
        <f>IF(AW357-101&lt;&gt;LoanSaleHeld,0,SUM($D364:AW364)*LoanSalePercent)</f>
        <v>0</v>
      </c>
      <c r="AX365" s="225">
        <f>IF(AX357-101&lt;&gt;LoanSaleHeld,0,SUM($D364:AX364)*LoanSalePercent)</f>
        <v>0</v>
      </c>
      <c r="AY365" s="225">
        <f>IF(AY357-101&lt;&gt;LoanSaleHeld,0,SUM($D364:AY364)*LoanSalePercent)</f>
        <v>0</v>
      </c>
      <c r="AZ365" s="225">
        <f>IF(AZ357-101&lt;&gt;LoanSaleHeld,0,SUM($D364:AZ364)*LoanSalePercent)</f>
        <v>0</v>
      </c>
      <c r="BA365" s="225">
        <f>IF(BA357-101&lt;&gt;LoanSaleHeld,0,SUM($D364:BA364)*LoanSalePercent)</f>
        <v>0</v>
      </c>
      <c r="BB365" s="225">
        <f>IF(BB357-101&lt;&gt;LoanSaleHeld,0,SUM($D364:BB364)*LoanSalePercent)</f>
        <v>0</v>
      </c>
      <c r="BC365" s="225">
        <f>IF(BC357-101&lt;&gt;LoanSaleHeld,0,SUM($D364:BC364)*LoanSalePercent)</f>
        <v>0</v>
      </c>
      <c r="BD365" s="225">
        <f>IF(BD357-101&lt;&gt;LoanSaleHeld,0,SUM($D364:BD364)*LoanSalePercent)</f>
        <v>0</v>
      </c>
      <c r="BE365" s="225">
        <f>IF(BE357-101&lt;&gt;LoanSaleHeld,0,SUM($D364:BE364)*LoanSalePercent)</f>
        <v>0</v>
      </c>
      <c r="BF365" s="225">
        <f>IF(BF357-101&lt;&gt;LoanSaleHeld,0,SUM($D364:BF364)*LoanSalePercent)</f>
        <v>0</v>
      </c>
      <c r="BG365" s="225">
        <f>IF(BG357-101&lt;&gt;LoanSaleHeld,0,SUM($D364:BG364)*LoanSalePercent)</f>
        <v>0</v>
      </c>
      <c r="BH365" s="225">
        <f>IF(BH357-101&lt;&gt;LoanSaleHeld,0,SUM($D364:BH364)*LoanSalePercent)</f>
        <v>0</v>
      </c>
      <c r="BI365" s="225">
        <f>IF(BI357-101&lt;&gt;LoanSaleHeld,0,SUM($D364:BI364)*LoanSalePercent)</f>
        <v>0</v>
      </c>
      <c r="BJ365" s="225">
        <f>IF(BJ357-101&lt;&gt;LoanSaleHeld,0,SUM($D364:BJ364)*LoanSalePercent)</f>
        <v>0</v>
      </c>
      <c r="BK365" s="225">
        <f>IF(BK357-101&lt;&gt;LoanSaleHeld,0,SUM($D364:BK364)*LoanSalePercent)</f>
        <v>0</v>
      </c>
    </row>
    <row r="366" spans="1:63" ht="7.8" x14ac:dyDescent="0.15">
      <c r="A366" s="204">
        <f t="shared" ref="A366" si="4959">A357+1</f>
        <v>41</v>
      </c>
      <c r="B366" s="192"/>
      <c r="C366" s="192"/>
      <c r="D366" s="192"/>
      <c r="E366" s="192"/>
      <c r="F366" s="192"/>
      <c r="G366" s="192"/>
      <c r="H366" s="192"/>
      <c r="I366" s="192"/>
      <c r="J366" s="192"/>
      <c r="K366" s="192"/>
      <c r="L366" s="192"/>
      <c r="M366" s="192"/>
      <c r="N366" s="192"/>
      <c r="O366" s="192"/>
      <c r="P366" s="192"/>
      <c r="Q366" s="192"/>
      <c r="R366" s="192"/>
      <c r="S366" s="192"/>
      <c r="T366" s="192"/>
      <c r="U366" s="192"/>
      <c r="V366" s="192"/>
      <c r="W366" s="192"/>
      <c r="X366" s="192"/>
      <c r="Y366" s="192"/>
      <c r="Z366" s="192"/>
      <c r="AA366" s="192"/>
      <c r="AB366" s="192"/>
      <c r="AC366" s="192"/>
      <c r="AD366" s="192"/>
      <c r="AE366" s="192"/>
      <c r="AF366" s="192"/>
      <c r="AG366" s="192"/>
      <c r="AH366" s="192"/>
      <c r="AI366" s="192"/>
      <c r="AJ366" s="192"/>
      <c r="AK366" s="192"/>
      <c r="AL366" s="192"/>
      <c r="AM366" s="192"/>
      <c r="AN366" s="192"/>
      <c r="AO366" s="192"/>
      <c r="AP366" s="192"/>
      <c r="AQ366" s="192"/>
      <c r="AR366" s="195">
        <v>101</v>
      </c>
      <c r="AS366" s="196">
        <f t="shared" ref="AS366" si="4960">IF(AS367=0,0,AR366+1)</f>
        <v>102</v>
      </c>
      <c r="AT366" s="196">
        <f t="shared" ref="AT366" si="4961">IF(AT367=0,0,AS366+1)</f>
        <v>103</v>
      </c>
      <c r="AU366" s="196">
        <f t="shared" ref="AU366" si="4962">IF(AU367=0,0,AT366+1)</f>
        <v>104</v>
      </c>
      <c r="AV366" s="196">
        <f t="shared" ref="AV366" si="4963">IF(AV367=0,0,AU366+1)</f>
        <v>105</v>
      </c>
      <c r="AW366" s="196">
        <f t="shared" ref="AW366" si="4964">IF(AW367=0,0,AV366+1)</f>
        <v>106</v>
      </c>
      <c r="AX366" s="196">
        <f t="shared" ref="AX366" si="4965">IF(AX367=0,0,AW366+1)</f>
        <v>107</v>
      </c>
      <c r="AY366" s="196">
        <f t="shared" ref="AY366" si="4966">IF(AY367=0,0,AX366+1)</f>
        <v>108</v>
      </c>
      <c r="AZ366" s="196">
        <f t="shared" ref="AZ366" si="4967">IF(AZ367=0,0,AY366+1)</f>
        <v>109</v>
      </c>
      <c r="BA366" s="196">
        <f t="shared" ref="BA366" si="4968">IF(BA367=0,0,AZ366+1)</f>
        <v>110</v>
      </c>
      <c r="BB366" s="196">
        <f t="shared" ref="BB366" si="4969">IF(BB367=0,0,BA366+1)</f>
        <v>111</v>
      </c>
      <c r="BC366" s="196">
        <f t="shared" ref="BC366" si="4970">IF(BC367=0,0,BB366+1)</f>
        <v>112</v>
      </c>
      <c r="BD366" s="196">
        <f t="shared" ref="BD366" si="4971">IF(BD367=0,0,BC366+1)</f>
        <v>113</v>
      </c>
      <c r="BE366" s="196">
        <f t="shared" ref="BE366" si="4972">IF(BE367=0,0,BD366+1)</f>
        <v>114</v>
      </c>
      <c r="BF366" s="196">
        <f t="shared" ref="BF366" si="4973">IF(BF367=0,0,BE366+1)</f>
        <v>115</v>
      </c>
      <c r="BG366" s="196">
        <f t="shared" ref="BG366" si="4974">IF(BG367=0,0,BF366+1)</f>
        <v>116</v>
      </c>
      <c r="BH366" s="196">
        <f t="shared" ref="BH366" si="4975">IF(BH367=0,0,BG366+1)</f>
        <v>117</v>
      </c>
      <c r="BI366" s="196">
        <f t="shared" ref="BI366" si="4976">IF(BI367=0,0,BH366+1)</f>
        <v>118</v>
      </c>
      <c r="BJ366" s="196">
        <f t="shared" ref="BJ366" si="4977">IF(BJ367=0,0,BI366+1)</f>
        <v>119</v>
      </c>
      <c r="BK366" s="196">
        <f t="shared" ref="BK366" si="4978">IF(BK367=0,0,BJ366+1)</f>
        <v>0</v>
      </c>
    </row>
    <row r="367" spans="1:63" ht="7.8" x14ac:dyDescent="0.15">
      <c r="A367" s="216" t="s">
        <v>178</v>
      </c>
      <c r="B367" s="192"/>
      <c r="C367" s="192"/>
      <c r="D367" s="192"/>
      <c r="E367" s="192"/>
      <c r="F367" s="192"/>
      <c r="G367" s="192"/>
      <c r="H367" s="192"/>
      <c r="I367" s="192"/>
      <c r="J367" s="192"/>
      <c r="K367" s="192"/>
      <c r="L367" s="192"/>
      <c r="M367" s="192"/>
      <c r="N367" s="192"/>
      <c r="O367" s="192"/>
      <c r="P367" s="192"/>
      <c r="Q367" s="192"/>
      <c r="R367" s="192"/>
      <c r="S367" s="192"/>
      <c r="T367" s="192"/>
      <c r="U367" s="192"/>
      <c r="V367" s="192"/>
      <c r="W367" s="192"/>
      <c r="X367" s="192"/>
      <c r="Y367" s="192"/>
      <c r="Z367" s="192"/>
      <c r="AA367" s="192"/>
      <c r="AB367" s="192"/>
      <c r="AC367" s="192"/>
      <c r="AD367" s="192"/>
      <c r="AE367" s="192"/>
      <c r="AF367" s="192"/>
      <c r="AG367" s="192"/>
      <c r="AH367" s="192"/>
      <c r="AI367" s="192"/>
      <c r="AJ367" s="192"/>
      <c r="AK367" s="192"/>
      <c r="AL367" s="192"/>
      <c r="AM367" s="192"/>
      <c r="AN367" s="192"/>
      <c r="AO367" s="192"/>
      <c r="AP367" s="192"/>
      <c r="AQ367" s="192"/>
      <c r="AR367" s="217">
        <f>LoanSize</f>
        <v>25</v>
      </c>
      <c r="AS367" s="215">
        <f>IF(AR367-AR370&lt;=0.1,0,AR367-AR370)</f>
        <v>23.79027212253634</v>
      </c>
      <c r="AT367" s="215">
        <f t="shared" ref="AT367:BK367" si="4979">IF(AS367-AS370&lt;=0.1,0,AS367-AS370)</f>
        <v>22.56189427362845</v>
      </c>
      <c r="AU367" s="215">
        <f t="shared" si="4979"/>
        <v>21.314578932883229</v>
      </c>
      <c r="AV367" s="215">
        <f t="shared" si="4979"/>
        <v>20.048034147301522</v>
      </c>
      <c r="AW367" s="215">
        <f t="shared" si="4979"/>
        <v>18.761963462942095</v>
      </c>
      <c r="AX367" s="215">
        <f t="shared" si="4979"/>
        <v>17.456065855532128</v>
      </c>
      <c r="AY367" s="215">
        <f t="shared" si="4979"/>
        <v>16.130035660007923</v>
      </c>
      <c r="AZ367" s="215">
        <f t="shared" si="4979"/>
        <v>14.783562498969387</v>
      </c>
      <c r="BA367" s="215">
        <f t="shared" si="4979"/>
        <v>13.416331210031506</v>
      </c>
      <c r="BB367" s="215">
        <f t="shared" si="4979"/>
        <v>12.028021772055833</v>
      </c>
      <c r="BC367" s="215">
        <f t="shared" si="4979"/>
        <v>10.618309230244702</v>
      </c>
      <c r="BD367" s="215">
        <f t="shared" si="4979"/>
        <v>9.1868636200806488</v>
      </c>
      <c r="BE367" s="215">
        <f t="shared" si="4979"/>
        <v>7.7333498900932334</v>
      </c>
      <c r="BF367" s="215">
        <f t="shared" si="4979"/>
        <v>6.2574278234351794</v>
      </c>
      <c r="BG367" s="215">
        <f t="shared" si="4979"/>
        <v>4.7587519582494799</v>
      </c>
      <c r="BH367" s="215">
        <f t="shared" si="4979"/>
        <v>3.2369715068088345</v>
      </c>
      <c r="BI367" s="215">
        <f t="shared" si="4979"/>
        <v>1.6917302734084789</v>
      </c>
      <c r="BJ367" s="215">
        <f t="shared" si="4979"/>
        <v>0.12266657099320111</v>
      </c>
      <c r="BK367" s="215">
        <f t="shared" si="4979"/>
        <v>0</v>
      </c>
    </row>
    <row r="368" spans="1:63" ht="7.8" x14ac:dyDescent="0.15">
      <c r="A368" s="218" t="s">
        <v>179</v>
      </c>
      <c r="B368" s="192"/>
      <c r="C368" s="192"/>
      <c r="D368" s="192"/>
      <c r="E368" s="192"/>
      <c r="F368" s="192"/>
      <c r="G368" s="192"/>
      <c r="H368" s="192"/>
      <c r="I368" s="192"/>
      <c r="J368" s="192"/>
      <c r="K368" s="192"/>
      <c r="L368" s="192"/>
      <c r="M368" s="192"/>
      <c r="N368" s="192"/>
      <c r="O368" s="192"/>
      <c r="P368" s="192"/>
      <c r="Q368" s="192"/>
      <c r="R368" s="192"/>
      <c r="S368" s="192"/>
      <c r="T368" s="192"/>
      <c r="U368" s="192"/>
      <c r="V368" s="192"/>
      <c r="W368" s="192"/>
      <c r="X368" s="192"/>
      <c r="Y368" s="192"/>
      <c r="Z368" s="192"/>
      <c r="AA368" s="192"/>
      <c r="AB368" s="192"/>
      <c r="AC368" s="192"/>
      <c r="AD368" s="192"/>
      <c r="AE368" s="192"/>
      <c r="AF368" s="192"/>
      <c r="AG368" s="192"/>
      <c r="AH368" s="192"/>
      <c r="AI368" s="192"/>
      <c r="AJ368" s="192"/>
      <c r="AK368" s="192"/>
      <c r="AL368" s="192"/>
      <c r="AM368" s="192"/>
      <c r="AN368" s="192"/>
      <c r="AO368" s="192"/>
      <c r="AP368" s="192"/>
      <c r="AQ368" s="192"/>
      <c r="AR368" s="219">
        <f>IF(AR367=0,0,PMT(INDEX(LoanCohortRate,1),LoanTerm, -LoanSize))</f>
        <v>1.5951445441303251</v>
      </c>
      <c r="AS368" s="222">
        <f t="shared" ref="AS368" si="4980">IF(AS367=0,0, AR368)</f>
        <v>1.5951445441303251</v>
      </c>
      <c r="AT368" s="222">
        <f t="shared" ref="AT368" si="4981">IF(AT367=0,0, AS368)</f>
        <v>1.5951445441303251</v>
      </c>
      <c r="AU368" s="222">
        <f t="shared" ref="AU368" si="4982">IF(AU367=0,0, AT368)</f>
        <v>1.5951445441303251</v>
      </c>
      <c r="AV368" s="222">
        <f t="shared" ref="AV368" si="4983">IF(AV367=0,0, AU368)</f>
        <v>1.5951445441303251</v>
      </c>
      <c r="AW368" s="222">
        <f t="shared" ref="AW368" si="4984">IF(AW367=0,0, AV368)</f>
        <v>1.5951445441303251</v>
      </c>
      <c r="AX368" s="222">
        <f t="shared" ref="AX368" si="4985">IF(AX367=0,0, AW368)</f>
        <v>1.5951445441303251</v>
      </c>
      <c r="AY368" s="222">
        <f t="shared" ref="AY368" si="4986">IF(AY367=0,0, AX368)</f>
        <v>1.5951445441303251</v>
      </c>
      <c r="AZ368" s="222">
        <f t="shared" ref="AZ368" si="4987">IF(AZ367=0,0, AY368)</f>
        <v>1.5951445441303251</v>
      </c>
      <c r="BA368" s="222">
        <f t="shared" ref="BA368" si="4988">IF(BA367=0,0, AZ368)</f>
        <v>1.5951445441303251</v>
      </c>
      <c r="BB368" s="222">
        <f t="shared" ref="BB368" si="4989">IF(BB367=0,0, BA368)</f>
        <v>1.5951445441303251</v>
      </c>
      <c r="BC368" s="222">
        <f t="shared" ref="BC368" si="4990">IF(BC367=0,0, BB368)</f>
        <v>1.5951445441303251</v>
      </c>
      <c r="BD368" s="222">
        <f t="shared" ref="BD368" si="4991">IF(BD367=0,0, BC368)</f>
        <v>1.5951445441303251</v>
      </c>
      <c r="BE368" s="222">
        <f t="shared" ref="BE368" si="4992">IF(BE367=0,0, BD368)</f>
        <v>1.5951445441303251</v>
      </c>
      <c r="BF368" s="222">
        <f t="shared" ref="BF368" si="4993">IF(BF367=0,0, BE368)</f>
        <v>1.5951445441303251</v>
      </c>
      <c r="BG368" s="222">
        <f t="shared" ref="BG368" si="4994">IF(BG367=0,0, BF368)</f>
        <v>1.5951445441303251</v>
      </c>
      <c r="BH368" s="222">
        <f t="shared" ref="BH368" si="4995">IF(BH367=0,0, BG368)</f>
        <v>1.5951445441303251</v>
      </c>
      <c r="BI368" s="222">
        <f t="shared" ref="BI368" si="4996">IF(BI367=0,0, BH368)</f>
        <v>1.5951445441303251</v>
      </c>
      <c r="BJ368" s="222">
        <f t="shared" ref="BJ368" si="4997">IF(BJ367=0,0, BI368)</f>
        <v>1.5951445441303251</v>
      </c>
      <c r="BK368" s="222">
        <f t="shared" ref="BK368" si="4998">IF(BK367=0,0, BJ368)</f>
        <v>0</v>
      </c>
    </row>
    <row r="369" spans="1:63" ht="7.8" x14ac:dyDescent="0.15">
      <c r="A369" s="218" t="s">
        <v>180</v>
      </c>
      <c r="B369" s="192"/>
      <c r="C369" s="192"/>
      <c r="D369" s="192"/>
      <c r="E369" s="192"/>
      <c r="F369" s="192"/>
      <c r="G369" s="192"/>
      <c r="H369" s="192"/>
      <c r="I369" s="192"/>
      <c r="J369" s="192"/>
      <c r="K369" s="192"/>
      <c r="L369" s="192"/>
      <c r="M369" s="192"/>
      <c r="N369" s="192"/>
      <c r="O369" s="192"/>
      <c r="P369" s="192"/>
      <c r="Q369" s="192"/>
      <c r="R369" s="192"/>
      <c r="S369" s="192"/>
      <c r="T369" s="192"/>
      <c r="U369" s="192"/>
      <c r="V369" s="192"/>
      <c r="W369" s="192"/>
      <c r="X369" s="192"/>
      <c r="Y369" s="192"/>
      <c r="Z369" s="192"/>
      <c r="AA369" s="192"/>
      <c r="AB369" s="192"/>
      <c r="AC369" s="192"/>
      <c r="AD369" s="192"/>
      <c r="AE369" s="192"/>
      <c r="AF369" s="192"/>
      <c r="AG369" s="192"/>
      <c r="AH369" s="192"/>
      <c r="AI369" s="192"/>
      <c r="AJ369" s="192"/>
      <c r="AK369" s="192"/>
      <c r="AL369" s="192"/>
      <c r="AM369" s="192"/>
      <c r="AN369" s="192"/>
      <c r="AO369" s="192"/>
      <c r="AP369" s="192"/>
      <c r="AQ369" s="192"/>
      <c r="AR369" s="220" cm="1">
        <f t="array" ref="AR369">AR367*INDEX(LoanCohortRate,$A366)</f>
        <v>0.38541666666666669</v>
      </c>
      <c r="AS369" s="221" cm="1">
        <f t="array" ref="AS369">AS367*INDEX(LoanCohortRate,$A366)</f>
        <v>0.36676669522243527</v>
      </c>
      <c r="AT369" s="221" cm="1">
        <f t="array" ref="AT369">AT367*INDEX(LoanCohortRate,$A366)</f>
        <v>0.34782920338510526</v>
      </c>
      <c r="AU369" s="221" cm="1">
        <f t="array" ref="AU369">AU367*INDEX(LoanCohortRate,$A366)</f>
        <v>0.32859975854861645</v>
      </c>
      <c r="AV369" s="221" cm="1">
        <f t="array" ref="AV369">AV367*INDEX(LoanCohortRate,$A366)</f>
        <v>0.30907385977089846</v>
      </c>
      <c r="AW369" s="221" cm="1">
        <f t="array" ref="AW369">AW367*INDEX(LoanCohortRate,$A366)</f>
        <v>0.28924693672035728</v>
      </c>
      <c r="AX369" s="221" cm="1">
        <f t="array" ref="AX369">AX367*INDEX(LoanCohortRate,$A366)</f>
        <v>0.26911434860612032</v>
      </c>
      <c r="AY369" s="221" cm="1">
        <f t="array" ref="AY369">AY367*INDEX(LoanCohortRate,$A366)</f>
        <v>0.24867138309178882</v>
      </c>
      <c r="AZ369" s="221" cm="1">
        <f t="array" ref="AZ369">AZ367*INDEX(LoanCohortRate,$A366)</f>
        <v>0.22791325519244471</v>
      </c>
      <c r="BA369" s="221" cm="1">
        <f t="array" ref="BA369">BA367*INDEX(LoanCohortRate,$A366)</f>
        <v>0.20683510615465239</v>
      </c>
      <c r="BB369" s="221" cm="1">
        <f t="array" ref="BB369">BB367*INDEX(LoanCohortRate,$A366)</f>
        <v>0.1854320023191941</v>
      </c>
      <c r="BC369" s="221" cm="1">
        <f t="array" ref="BC369">BC367*INDEX(LoanCohortRate,$A366)</f>
        <v>0.1636989339662725</v>
      </c>
      <c r="BD369" s="221" cm="1">
        <f t="array" ref="BD369">BD367*INDEX(LoanCohortRate,$A366)</f>
        <v>0.14163081414291001</v>
      </c>
      <c r="BE369" s="221" cm="1">
        <f t="array" ref="BE369">BE367*INDEX(LoanCohortRate,$A366)</f>
        <v>0.11922247747227069</v>
      </c>
      <c r="BF369" s="221" cm="1">
        <f t="array" ref="BF369">BF367*INDEX(LoanCohortRate,$A366)</f>
        <v>9.6468678944625685E-2</v>
      </c>
      <c r="BG369" s="221" cm="1">
        <f t="array" ref="BG369">BG367*INDEX(LoanCohortRate,$A366)</f>
        <v>7.3364092689679486E-2</v>
      </c>
      <c r="BH369" s="221" cm="1">
        <f t="array" ref="BH369">BH367*INDEX(LoanCohortRate,$A366)</f>
        <v>4.9903310729969536E-2</v>
      </c>
      <c r="BI369" s="221" cm="1">
        <f t="array" ref="BI369">BI367*INDEX(LoanCohortRate,$A366)</f>
        <v>2.6080841715047383E-2</v>
      </c>
      <c r="BJ369" s="221" cm="1">
        <f t="array" ref="BJ369">BJ367*INDEX(LoanCohortRate,$A366)</f>
        <v>1.8911096361451838E-3</v>
      </c>
      <c r="BK369" s="221" cm="1">
        <f t="array" ref="BK369">BK367*INDEX(LoanCohortRate,$A366)</f>
        <v>0</v>
      </c>
    </row>
    <row r="370" spans="1:63" ht="7.8" x14ac:dyDescent="0.15">
      <c r="A370" s="218" t="s">
        <v>177</v>
      </c>
      <c r="B370" s="192"/>
      <c r="C370" s="192"/>
      <c r="D370" s="192"/>
      <c r="E370" s="192"/>
      <c r="F370" s="192"/>
      <c r="G370" s="192"/>
      <c r="H370" s="192"/>
      <c r="I370" s="192"/>
      <c r="J370" s="192"/>
      <c r="K370" s="192"/>
      <c r="L370" s="192"/>
      <c r="M370" s="192"/>
      <c r="N370" s="192"/>
      <c r="O370" s="192"/>
      <c r="P370" s="192"/>
      <c r="Q370" s="192"/>
      <c r="R370" s="192"/>
      <c r="S370" s="192"/>
      <c r="T370" s="192"/>
      <c r="U370" s="192"/>
      <c r="V370" s="192"/>
      <c r="W370" s="192"/>
      <c r="X370" s="192"/>
      <c r="Y370" s="192"/>
      <c r="Z370" s="192"/>
      <c r="AA370" s="192"/>
      <c r="AB370" s="192"/>
      <c r="AC370" s="192"/>
      <c r="AD370" s="192"/>
      <c r="AE370" s="192"/>
      <c r="AF370" s="192"/>
      <c r="AG370" s="192"/>
      <c r="AH370" s="192"/>
      <c r="AI370" s="192"/>
      <c r="AJ370" s="192"/>
      <c r="AK370" s="192"/>
      <c r="AL370" s="192"/>
      <c r="AM370" s="192"/>
      <c r="AN370" s="192"/>
      <c r="AO370" s="192"/>
      <c r="AP370" s="192"/>
      <c r="AQ370" s="192"/>
      <c r="AR370" s="219">
        <f>AR368-AR369</f>
        <v>1.2097278774636584</v>
      </c>
      <c r="AS370" s="222">
        <f t="shared" ref="AS370:BK370" si="4999">AS368-AS369</f>
        <v>1.2283778489078898</v>
      </c>
      <c r="AT370" s="222">
        <f t="shared" si="4999"/>
        <v>1.24731534074522</v>
      </c>
      <c r="AU370" s="222">
        <f t="shared" si="4999"/>
        <v>1.2665447855817087</v>
      </c>
      <c r="AV370" s="222">
        <f t="shared" si="4999"/>
        <v>1.2860706843594267</v>
      </c>
      <c r="AW370" s="222">
        <f t="shared" si="4999"/>
        <v>1.305897607409968</v>
      </c>
      <c r="AX370" s="222">
        <f t="shared" si="4999"/>
        <v>1.3260301955242049</v>
      </c>
      <c r="AY370" s="222">
        <f t="shared" si="4999"/>
        <v>1.3464731610385363</v>
      </c>
      <c r="AZ370" s="222">
        <f t="shared" si="4999"/>
        <v>1.3672312889378804</v>
      </c>
      <c r="BA370" s="222">
        <f t="shared" si="4999"/>
        <v>1.3883094379756726</v>
      </c>
      <c r="BB370" s="222">
        <f t="shared" si="4999"/>
        <v>1.4097125418111309</v>
      </c>
      <c r="BC370" s="222">
        <f t="shared" si="4999"/>
        <v>1.4314456101640527</v>
      </c>
      <c r="BD370" s="222">
        <f t="shared" si="4999"/>
        <v>1.453513729987415</v>
      </c>
      <c r="BE370" s="222">
        <f t="shared" si="4999"/>
        <v>1.4759220666580544</v>
      </c>
      <c r="BF370" s="222">
        <f t="shared" si="4999"/>
        <v>1.4986758651856995</v>
      </c>
      <c r="BG370" s="222">
        <f t="shared" si="4999"/>
        <v>1.5217804514406457</v>
      </c>
      <c r="BH370" s="222">
        <f t="shared" si="4999"/>
        <v>1.5452412334003556</v>
      </c>
      <c r="BI370" s="222">
        <f t="shared" si="4999"/>
        <v>1.5690637024152778</v>
      </c>
      <c r="BJ370" s="222">
        <f t="shared" si="4999"/>
        <v>1.59325343449418</v>
      </c>
      <c r="BK370" s="222">
        <f t="shared" si="4999"/>
        <v>0</v>
      </c>
    </row>
    <row r="371" spans="1:63" ht="7.8" x14ac:dyDescent="0.15">
      <c r="A371" s="205" t="s">
        <v>7</v>
      </c>
      <c r="B371" s="192"/>
      <c r="C371" s="192"/>
      <c r="D371" s="192"/>
      <c r="E371" s="192"/>
      <c r="F371" s="192"/>
      <c r="G371" s="192"/>
      <c r="H371" s="192"/>
      <c r="I371" s="192"/>
      <c r="J371" s="192"/>
      <c r="K371" s="192"/>
      <c r="L371" s="192"/>
      <c r="M371" s="192"/>
      <c r="N371" s="192"/>
      <c r="O371" s="192"/>
      <c r="P371" s="192"/>
      <c r="Q371" s="192"/>
      <c r="R371" s="192"/>
      <c r="S371" s="192"/>
      <c r="T371" s="192"/>
      <c r="U371" s="192"/>
      <c r="V371" s="192"/>
      <c r="W371" s="192"/>
      <c r="X371" s="192"/>
      <c r="Y371" s="192"/>
      <c r="Z371" s="192"/>
      <c r="AA371" s="192"/>
      <c r="AB371" s="192"/>
      <c r="AC371" s="192"/>
      <c r="AD371" s="192"/>
      <c r="AE371" s="192"/>
      <c r="AF371" s="192"/>
      <c r="AG371" s="192"/>
      <c r="AH371" s="192"/>
      <c r="AI371" s="192"/>
      <c r="AJ371" s="192"/>
      <c r="AK371" s="192"/>
      <c r="AL371" s="192"/>
      <c r="AM371" s="192"/>
      <c r="AN371" s="192"/>
      <c r="AO371" s="192"/>
      <c r="AP371" s="192"/>
      <c r="AQ371" s="192"/>
      <c r="AR371" s="214" cm="1">
        <f t="array" ref="AR371">INDEX(LoanOriginations,$A366)</f>
        <v>122.07942364867935</v>
      </c>
      <c r="AS371" s="199">
        <f t="shared" ref="AS371:BK371" si="5000">AR371*(1-MitigateDelinquency*MitigateChargeoff)  *  IF(AS366=0,0,IF(AS366-102=LoanSaleHeld,0.6,1))</f>
        <v>121.95734422503067</v>
      </c>
      <c r="AT371" s="199">
        <f t="shared" si="5000"/>
        <v>121.83538688080564</v>
      </c>
      <c r="AU371" s="199">
        <f t="shared" si="5000"/>
        <v>121.71355149392484</v>
      </c>
      <c r="AV371" s="199">
        <f t="shared" si="5000"/>
        <v>72.955102765458548</v>
      </c>
      <c r="AW371" s="199">
        <f t="shared" si="5000"/>
        <v>72.882147662693086</v>
      </c>
      <c r="AX371" s="199">
        <f t="shared" si="5000"/>
        <v>72.80926551503039</v>
      </c>
      <c r="AY371" s="199">
        <f t="shared" si="5000"/>
        <v>72.736456249515356</v>
      </c>
      <c r="AZ371" s="199">
        <f t="shared" si="5000"/>
        <v>72.663719793265841</v>
      </c>
      <c r="BA371" s="199">
        <f t="shared" si="5000"/>
        <v>72.591056073472572</v>
      </c>
      <c r="BB371" s="199">
        <f t="shared" si="5000"/>
        <v>72.518465017399095</v>
      </c>
      <c r="BC371" s="199">
        <f t="shared" si="5000"/>
        <v>72.445946552381699</v>
      </c>
      <c r="BD371" s="199">
        <f t="shared" si="5000"/>
        <v>72.373500605829321</v>
      </c>
      <c r="BE371" s="199">
        <f t="shared" si="5000"/>
        <v>72.301127105223486</v>
      </c>
      <c r="BF371" s="199">
        <f t="shared" si="5000"/>
        <v>72.228825978118266</v>
      </c>
      <c r="BG371" s="199">
        <f t="shared" si="5000"/>
        <v>72.156597152140151</v>
      </c>
      <c r="BH371" s="199">
        <f t="shared" si="5000"/>
        <v>72.084440554988007</v>
      </c>
      <c r="BI371" s="199">
        <f t="shared" si="5000"/>
        <v>72.012356114433018</v>
      </c>
      <c r="BJ371" s="199">
        <f t="shared" si="5000"/>
        <v>71.940343758318591</v>
      </c>
      <c r="BK371" s="199">
        <f t="shared" si="5000"/>
        <v>0</v>
      </c>
    </row>
    <row r="372" spans="1:63" ht="7.8" x14ac:dyDescent="0.15">
      <c r="A372" s="207" t="s">
        <v>96</v>
      </c>
      <c r="B372" s="192"/>
      <c r="C372" s="192"/>
      <c r="D372" s="192"/>
      <c r="E372" s="192"/>
      <c r="F372" s="192"/>
      <c r="G372" s="192"/>
      <c r="H372" s="192"/>
      <c r="I372" s="192"/>
      <c r="J372" s="192"/>
      <c r="K372" s="192"/>
      <c r="L372" s="192"/>
      <c r="M372" s="192"/>
      <c r="N372" s="192"/>
      <c r="O372" s="192"/>
      <c r="P372" s="192"/>
      <c r="Q372" s="192"/>
      <c r="R372" s="192"/>
      <c r="S372" s="192"/>
      <c r="T372" s="192"/>
      <c r="U372" s="192"/>
      <c r="V372" s="192"/>
      <c r="W372" s="192"/>
      <c r="X372" s="192"/>
      <c r="Y372" s="192"/>
      <c r="Z372" s="192"/>
      <c r="AA372" s="192"/>
      <c r="AB372" s="192"/>
      <c r="AC372" s="192"/>
      <c r="AD372" s="192"/>
      <c r="AE372" s="192"/>
      <c r="AF372" s="192"/>
      <c r="AG372" s="192"/>
      <c r="AH372" s="192"/>
      <c r="AI372" s="192"/>
      <c r="AJ372" s="192"/>
      <c r="AK372" s="192"/>
      <c r="AL372" s="192"/>
      <c r="AM372" s="192"/>
      <c r="AN372" s="192"/>
      <c r="AO372" s="192"/>
      <c r="AP372" s="192"/>
      <c r="AQ372" s="192"/>
      <c r="AR372" s="223">
        <f>AR369*AR371</f>
        <v>47.051444531261836</v>
      </c>
      <c r="AS372" s="200">
        <f t="shared" ref="AS372" si="5001">AS369*AS371</f>
        <v>44.729892099519446</v>
      </c>
      <c r="AT372" s="200">
        <f t="shared" ref="AT372" si="5002">AT369*AT371</f>
        <v>42.377905562866729</v>
      </c>
      <c r="AU372" s="200">
        <f t="shared" ref="AU372" si="5003">AU369*AU371</f>
        <v>39.995043632998296</v>
      </c>
      <c r="AV372" s="200">
        <f t="shared" ref="AV372" si="5004">AV369*AV371</f>
        <v>22.548515201702823</v>
      </c>
      <c r="AW372" s="200">
        <f t="shared" ref="AW372" si="5005">AW369*AW371</f>
        <v>21.080937953034724</v>
      </c>
      <c r="AX372" s="200">
        <f t="shared" ref="AX372" si="5006">AX369*AX371</f>
        <v>19.594018061567464</v>
      </c>
      <c r="AY372" s="200">
        <f t="shared" ref="AY372" si="5007">AY369*AY371</f>
        <v>18.087475176762371</v>
      </c>
      <c r="AZ372" s="200">
        <f t="shared" ref="AZ372" si="5008">AZ369*AZ371</f>
        <v>16.561024912474892</v>
      </c>
      <c r="BA372" s="200">
        <f t="shared" ref="BA372" si="5009">BA369*BA371</f>
        <v>15.014378788835023</v>
      </c>
      <c r="BB372" s="200">
        <f t="shared" ref="BB372" si="5010">BB369*BB371</f>
        <v>13.447244173290745</v>
      </c>
      <c r="BC372" s="200">
        <f t="shared" ref="BC372" si="5011">BC369*BC371</f>
        <v>11.859324220802439</v>
      </c>
      <c r="BD372" s="200">
        <f t="shared" ref="BD372" si="5012">BD369*BD371</f>
        <v>10.250317813175998</v>
      </c>
      <c r="BE372" s="200">
        <f t="shared" ref="BE372" si="5013">BE369*BE371</f>
        <v>8.6199194975222859</v>
      </c>
      <c r="BF372" s="200">
        <f t="shared" ref="BF372" si="5014">BF369*BF371</f>
        <v>6.9678194238303304</v>
      </c>
      <c r="BG372" s="200">
        <f t="shared" ref="BG372" si="5015">BG369*BG371</f>
        <v>5.2937032816414726</v>
      </c>
      <c r="BH372" s="200">
        <f t="shared" ref="BH372" si="5016">BH369*BH371</f>
        <v>3.5972522358115842</v>
      </c>
      <c r="BI372" s="200">
        <f t="shared" ref="BI372" si="5017">BI369*BI371</f>
        <v>1.8781428613481521</v>
      </c>
      <c r="BJ372" s="200">
        <f t="shared" ref="BJ372" si="5018">BJ369*BJ371</f>
        <v>0.13604707730895332</v>
      </c>
      <c r="BK372" s="200">
        <f t="shared" ref="BK372" si="5019">BK369*BK371</f>
        <v>0</v>
      </c>
    </row>
    <row r="373" spans="1:63" ht="7.8" x14ac:dyDescent="0.15">
      <c r="A373" s="206" t="s">
        <v>97</v>
      </c>
      <c r="B373" s="192"/>
      <c r="C373" s="192"/>
      <c r="D373" s="192"/>
      <c r="E373" s="192"/>
      <c r="F373" s="192"/>
      <c r="G373" s="192"/>
      <c r="H373" s="192"/>
      <c r="I373" s="192"/>
      <c r="J373" s="192"/>
      <c r="K373" s="192"/>
      <c r="L373" s="192"/>
      <c r="M373" s="192"/>
      <c r="N373" s="192"/>
      <c r="O373" s="192"/>
      <c r="P373" s="192"/>
      <c r="Q373" s="192"/>
      <c r="R373" s="192"/>
      <c r="S373" s="192"/>
      <c r="T373" s="192"/>
      <c r="U373" s="192"/>
      <c r="V373" s="192"/>
      <c r="W373" s="192"/>
      <c r="X373" s="192"/>
      <c r="Y373" s="192"/>
      <c r="Z373" s="192"/>
      <c r="AA373" s="192"/>
      <c r="AB373" s="192"/>
      <c r="AC373" s="192"/>
      <c r="AD373" s="192"/>
      <c r="AE373" s="192"/>
      <c r="AF373" s="192"/>
      <c r="AG373" s="192"/>
      <c r="AH373" s="192"/>
      <c r="AI373" s="192"/>
      <c r="AJ373" s="192"/>
      <c r="AK373" s="192"/>
      <c r="AL373" s="192"/>
      <c r="AM373" s="192"/>
      <c r="AN373" s="192"/>
      <c r="AO373" s="192"/>
      <c r="AP373" s="192"/>
      <c r="AQ373" s="192"/>
      <c r="AR373" s="223">
        <f>AR370*AR371</f>
        <v>147.68288205250363</v>
      </c>
      <c r="AS373" s="200">
        <f>AS370*AS371</f>
        <v>149.80970015766223</v>
      </c>
      <c r="AT373" s="200">
        <f t="shared" ref="AT373:BK373" si="5020">AT370*AT371</f>
        <v>151.96714710205779</v>
      </c>
      <c r="AU373" s="200">
        <f t="shared" si="5020"/>
        <v>154.15566397926131</v>
      </c>
      <c r="AV373" s="200">
        <f t="shared" si="5020"/>
        <v>93.825418941085587</v>
      </c>
      <c r="AW373" s="200">
        <f t="shared" si="5020"/>
        <v>95.176622255610894</v>
      </c>
      <c r="AX373" s="200">
        <f t="shared" si="5020"/>
        <v>96.547284586869495</v>
      </c>
      <c r="AY373" s="200">
        <f t="shared" si="5020"/>
        <v>97.937686169026136</v>
      </c>
      <c r="AZ373" s="200">
        <f t="shared" si="5020"/>
        <v>99.348111271967824</v>
      </c>
      <c r="BA373" s="200">
        <f t="shared" si="5020"/>
        <v>100.77884825942324</v>
      </c>
      <c r="BB373" s="200">
        <f t="shared" si="5020"/>
        <v>102.23018964791926</v>
      </c>
      <c r="BC373" s="200">
        <f t="shared" si="5020"/>
        <v>103.70243216658638</v>
      </c>
      <c r="BD373" s="200">
        <f t="shared" si="5020"/>
        <v>105.19587681782542</v>
      </c>
      <c r="BE373" s="200">
        <f t="shared" si="5020"/>
        <v>106.71082893884812</v>
      </c>
      <c r="BF373" s="200">
        <f t="shared" si="5020"/>
        <v>108.24759826410371</v>
      </c>
      <c r="BG373" s="200">
        <f t="shared" si="5020"/>
        <v>109.80649898860464</v>
      </c>
      <c r="BH373" s="200">
        <f t="shared" si="5020"/>
        <v>111.38784983216428</v>
      </c>
      <c r="BI373" s="200">
        <f t="shared" si="5020"/>
        <v>112.99197410455974</v>
      </c>
      <c r="BJ373" s="200">
        <f t="shared" si="5020"/>
        <v>114.61919977163303</v>
      </c>
      <c r="BK373" s="200">
        <f t="shared" si="5020"/>
        <v>0</v>
      </c>
    </row>
    <row r="374" spans="1:63" ht="7.8" x14ac:dyDescent="0.15">
      <c r="A374" s="208" t="s">
        <v>203</v>
      </c>
      <c r="B374" s="192"/>
      <c r="C374" s="192"/>
      <c r="D374" s="192"/>
      <c r="E374" s="192"/>
      <c r="F374" s="192"/>
      <c r="G374" s="192"/>
      <c r="H374" s="192"/>
      <c r="I374" s="192"/>
      <c r="J374" s="192"/>
      <c r="K374" s="192"/>
      <c r="L374" s="192"/>
      <c r="M374" s="192"/>
      <c r="N374" s="192"/>
      <c r="O374" s="192"/>
      <c r="P374" s="192"/>
      <c r="Q374" s="192"/>
      <c r="R374" s="192"/>
      <c r="S374" s="192"/>
      <c r="T374" s="192"/>
      <c r="U374" s="192"/>
      <c r="V374" s="192"/>
      <c r="W374" s="192"/>
      <c r="X374" s="192"/>
      <c r="Y374" s="192"/>
      <c r="Z374" s="192"/>
      <c r="AA374" s="192"/>
      <c r="AB374" s="192"/>
      <c r="AC374" s="192"/>
      <c r="AD374" s="192"/>
      <c r="AE374" s="192"/>
      <c r="AF374" s="192"/>
      <c r="AG374" s="192"/>
      <c r="AH374" s="192"/>
      <c r="AI374" s="192"/>
      <c r="AJ374" s="192"/>
      <c r="AK374" s="192"/>
      <c r="AL374" s="192"/>
      <c r="AM374" s="192"/>
      <c r="AN374" s="192"/>
      <c r="AO374" s="192"/>
      <c r="AP374" s="192"/>
      <c r="AQ374" s="192"/>
      <c r="AR374" s="224">
        <f>IF(AR366-101&lt;&gt;LoanSaleHeld,0,SUM($D373:AR373)*LoanSalePercent)</f>
        <v>0</v>
      </c>
      <c r="AS374" s="225">
        <f>IF(AS366-101&lt;&gt;LoanSaleHeld,0,SUM($D373:AS373)*LoanSalePercent)</f>
        <v>0</v>
      </c>
      <c r="AT374" s="225">
        <f>IF(AT366-101&lt;&gt;LoanSaleHeld,0,SUM($D373:AT373)*LoanSalePercent)</f>
        <v>0</v>
      </c>
      <c r="AU374" s="225">
        <f>IF(AU366-101&lt;&gt;LoanSaleHeld,0,SUM($D373:AU373)*LoanSalePercent)</f>
        <v>241.44615731659397</v>
      </c>
      <c r="AV374" s="225">
        <f>IF(AV366-101&lt;&gt;LoanSaleHeld,0,SUM($D373:AV373)*LoanSalePercent)</f>
        <v>0</v>
      </c>
      <c r="AW374" s="225">
        <f>IF(AW366-101&lt;&gt;LoanSaleHeld,0,SUM($D373:AW373)*LoanSalePercent)</f>
        <v>0</v>
      </c>
      <c r="AX374" s="225">
        <f>IF(AX366-101&lt;&gt;LoanSaleHeld,0,SUM($D373:AX373)*LoanSalePercent)</f>
        <v>0</v>
      </c>
      <c r="AY374" s="225">
        <f>IF(AY366-101&lt;&gt;LoanSaleHeld,0,SUM($D373:AY373)*LoanSalePercent)</f>
        <v>0</v>
      </c>
      <c r="AZ374" s="225">
        <f>IF(AZ366-101&lt;&gt;LoanSaleHeld,0,SUM($D373:AZ373)*LoanSalePercent)</f>
        <v>0</v>
      </c>
      <c r="BA374" s="225">
        <f>IF(BA366-101&lt;&gt;LoanSaleHeld,0,SUM($D373:BA373)*LoanSalePercent)</f>
        <v>0</v>
      </c>
      <c r="BB374" s="225">
        <f>IF(BB366-101&lt;&gt;LoanSaleHeld,0,SUM($D373:BB373)*LoanSalePercent)</f>
        <v>0</v>
      </c>
      <c r="BC374" s="225">
        <f>IF(BC366-101&lt;&gt;LoanSaleHeld,0,SUM($D373:BC373)*LoanSalePercent)</f>
        <v>0</v>
      </c>
      <c r="BD374" s="225">
        <f>IF(BD366-101&lt;&gt;LoanSaleHeld,0,SUM($D373:BD373)*LoanSalePercent)</f>
        <v>0</v>
      </c>
      <c r="BE374" s="225">
        <f>IF(BE366-101&lt;&gt;LoanSaleHeld,0,SUM($D373:BE373)*LoanSalePercent)</f>
        <v>0</v>
      </c>
      <c r="BF374" s="225">
        <f>IF(BF366-101&lt;&gt;LoanSaleHeld,0,SUM($D373:BF373)*LoanSalePercent)</f>
        <v>0</v>
      </c>
      <c r="BG374" s="225">
        <f>IF(BG366-101&lt;&gt;LoanSaleHeld,0,SUM($D373:BG373)*LoanSalePercent)</f>
        <v>0</v>
      </c>
      <c r="BH374" s="225">
        <f>IF(BH366-101&lt;&gt;LoanSaleHeld,0,SUM($D373:BH373)*LoanSalePercent)</f>
        <v>0</v>
      </c>
      <c r="BI374" s="225">
        <f>IF(BI366-101&lt;&gt;LoanSaleHeld,0,SUM($D373:BI373)*LoanSalePercent)</f>
        <v>0</v>
      </c>
      <c r="BJ374" s="225">
        <f>IF(BJ366-101&lt;&gt;LoanSaleHeld,0,SUM($D373:BJ373)*LoanSalePercent)</f>
        <v>0</v>
      </c>
      <c r="BK374" s="225">
        <f>IF(BK366-101&lt;&gt;LoanSaleHeld,0,SUM($D373:BK373)*LoanSalePercent)</f>
        <v>0</v>
      </c>
    </row>
    <row r="375" spans="1:63" ht="7.8" x14ac:dyDescent="0.15">
      <c r="A375" s="204">
        <f t="shared" ref="A375" si="5021">A366+1</f>
        <v>42</v>
      </c>
      <c r="B375" s="192"/>
      <c r="C375" s="192"/>
      <c r="D375" s="192"/>
      <c r="E375" s="192"/>
      <c r="F375" s="192"/>
      <c r="G375" s="192"/>
      <c r="H375" s="192"/>
      <c r="I375" s="192"/>
      <c r="J375" s="192"/>
      <c r="K375" s="192"/>
      <c r="L375" s="192"/>
      <c r="M375" s="192"/>
      <c r="N375" s="192"/>
      <c r="O375" s="192"/>
      <c r="P375" s="192"/>
      <c r="Q375" s="192"/>
      <c r="R375" s="192"/>
      <c r="S375" s="192"/>
      <c r="T375" s="192"/>
      <c r="U375" s="192"/>
      <c r="V375" s="192"/>
      <c r="W375" s="192"/>
      <c r="X375" s="192"/>
      <c r="Y375" s="192"/>
      <c r="Z375" s="192"/>
      <c r="AA375" s="192"/>
      <c r="AB375" s="192"/>
      <c r="AC375" s="192"/>
      <c r="AD375" s="192"/>
      <c r="AE375" s="192"/>
      <c r="AF375" s="192"/>
      <c r="AG375" s="192"/>
      <c r="AH375" s="192"/>
      <c r="AI375" s="192"/>
      <c r="AJ375" s="192"/>
      <c r="AK375" s="192"/>
      <c r="AL375" s="192"/>
      <c r="AM375" s="192"/>
      <c r="AN375" s="192"/>
      <c r="AO375" s="192"/>
      <c r="AP375" s="192"/>
      <c r="AQ375" s="192"/>
      <c r="AR375" s="192"/>
      <c r="AS375" s="195">
        <v>101</v>
      </c>
      <c r="AT375" s="196">
        <f t="shared" ref="AT375" si="5022">IF(AT376=0,0,AS375+1)</f>
        <v>102</v>
      </c>
      <c r="AU375" s="196">
        <f t="shared" ref="AU375" si="5023">IF(AU376=0,0,AT375+1)</f>
        <v>103</v>
      </c>
      <c r="AV375" s="196">
        <f t="shared" ref="AV375" si="5024">IF(AV376=0,0,AU375+1)</f>
        <v>104</v>
      </c>
      <c r="AW375" s="196">
        <f t="shared" ref="AW375" si="5025">IF(AW376=0,0,AV375+1)</f>
        <v>105</v>
      </c>
      <c r="AX375" s="196">
        <f t="shared" ref="AX375" si="5026">IF(AX376=0,0,AW375+1)</f>
        <v>106</v>
      </c>
      <c r="AY375" s="196">
        <f t="shared" ref="AY375" si="5027">IF(AY376=0,0,AX375+1)</f>
        <v>107</v>
      </c>
      <c r="AZ375" s="196">
        <f t="shared" ref="AZ375" si="5028">IF(AZ376=0,0,AY375+1)</f>
        <v>108</v>
      </c>
      <c r="BA375" s="196">
        <f t="shared" ref="BA375" si="5029">IF(BA376=0,0,AZ375+1)</f>
        <v>109</v>
      </c>
      <c r="BB375" s="196">
        <f t="shared" ref="BB375" si="5030">IF(BB376=0,0,BA375+1)</f>
        <v>110</v>
      </c>
      <c r="BC375" s="196">
        <f t="shared" ref="BC375" si="5031">IF(BC376=0,0,BB375+1)</f>
        <v>111</v>
      </c>
      <c r="BD375" s="196">
        <f t="shared" ref="BD375" si="5032">IF(BD376=0,0,BC375+1)</f>
        <v>112</v>
      </c>
      <c r="BE375" s="196">
        <f t="shared" ref="BE375" si="5033">IF(BE376=0,0,BD375+1)</f>
        <v>113</v>
      </c>
      <c r="BF375" s="196">
        <f t="shared" ref="BF375" si="5034">IF(BF376=0,0,BE375+1)</f>
        <v>114</v>
      </c>
      <c r="BG375" s="196">
        <f t="shared" ref="BG375" si="5035">IF(BG376=0,0,BF375+1)</f>
        <v>115</v>
      </c>
      <c r="BH375" s="196">
        <f t="shared" ref="BH375" si="5036">IF(BH376=0,0,BG375+1)</f>
        <v>116</v>
      </c>
      <c r="BI375" s="196">
        <f t="shared" ref="BI375" si="5037">IF(BI376=0,0,BH375+1)</f>
        <v>117</v>
      </c>
      <c r="BJ375" s="196">
        <f t="shared" ref="BJ375" si="5038">IF(BJ376=0,0,BI375+1)</f>
        <v>118</v>
      </c>
      <c r="BK375" s="196">
        <f t="shared" ref="BK375" si="5039">IF(BK376=0,0,BJ375+1)</f>
        <v>119</v>
      </c>
    </row>
    <row r="376" spans="1:63" ht="7.8" x14ac:dyDescent="0.15">
      <c r="A376" s="216" t="s">
        <v>178</v>
      </c>
      <c r="B376" s="192"/>
      <c r="C376" s="192"/>
      <c r="D376" s="192"/>
      <c r="E376" s="192"/>
      <c r="F376" s="192"/>
      <c r="G376" s="192"/>
      <c r="H376" s="192"/>
      <c r="I376" s="192"/>
      <c r="J376" s="192"/>
      <c r="K376" s="192"/>
      <c r="L376" s="192"/>
      <c r="M376" s="192"/>
      <c r="N376" s="192"/>
      <c r="O376" s="192"/>
      <c r="P376" s="192"/>
      <c r="Q376" s="192"/>
      <c r="R376" s="192"/>
      <c r="S376" s="192"/>
      <c r="T376" s="192"/>
      <c r="U376" s="192"/>
      <c r="V376" s="192"/>
      <c r="W376" s="192"/>
      <c r="X376" s="192"/>
      <c r="Y376" s="192"/>
      <c r="Z376" s="192"/>
      <c r="AA376" s="192"/>
      <c r="AB376" s="192"/>
      <c r="AC376" s="192"/>
      <c r="AD376" s="192"/>
      <c r="AE376" s="192"/>
      <c r="AF376" s="192"/>
      <c r="AG376" s="192"/>
      <c r="AH376" s="192"/>
      <c r="AI376" s="192"/>
      <c r="AJ376" s="192"/>
      <c r="AK376" s="192"/>
      <c r="AL376" s="192"/>
      <c r="AM376" s="192"/>
      <c r="AN376" s="192"/>
      <c r="AO376" s="192"/>
      <c r="AP376" s="192"/>
      <c r="AQ376" s="192"/>
      <c r="AR376" s="192"/>
      <c r="AS376" s="217">
        <f>LoanSize</f>
        <v>25</v>
      </c>
      <c r="AT376" s="215">
        <f>IF(AS376-AS379&lt;=0.1,0,AS376-AS379)</f>
        <v>23.79027212253634</v>
      </c>
      <c r="AU376" s="215">
        <f t="shared" ref="AU376:BK376" si="5040">IF(AT376-AT379&lt;=0.1,0,AT376-AT379)</f>
        <v>22.56189427362845</v>
      </c>
      <c r="AV376" s="215">
        <f t="shared" si="5040"/>
        <v>21.314578932883229</v>
      </c>
      <c r="AW376" s="215">
        <f t="shared" si="5040"/>
        <v>20.048034147301522</v>
      </c>
      <c r="AX376" s="215">
        <f t="shared" si="5040"/>
        <v>18.761963462942095</v>
      </c>
      <c r="AY376" s="215">
        <f t="shared" si="5040"/>
        <v>17.456065855532128</v>
      </c>
      <c r="AZ376" s="215">
        <f t="shared" si="5040"/>
        <v>16.130035660007923</v>
      </c>
      <c r="BA376" s="215">
        <f t="shared" si="5040"/>
        <v>14.783562498969387</v>
      </c>
      <c r="BB376" s="215">
        <f t="shared" si="5040"/>
        <v>13.416331210031506</v>
      </c>
      <c r="BC376" s="215">
        <f t="shared" si="5040"/>
        <v>12.028021772055833</v>
      </c>
      <c r="BD376" s="215">
        <f t="shared" si="5040"/>
        <v>10.618309230244702</v>
      </c>
      <c r="BE376" s="215">
        <f t="shared" si="5040"/>
        <v>9.1868636200806488</v>
      </c>
      <c r="BF376" s="215">
        <f t="shared" si="5040"/>
        <v>7.7333498900932334</v>
      </c>
      <c r="BG376" s="215">
        <f t="shared" si="5040"/>
        <v>6.2574278234351794</v>
      </c>
      <c r="BH376" s="215">
        <f t="shared" si="5040"/>
        <v>4.7587519582494799</v>
      </c>
      <c r="BI376" s="215">
        <f t="shared" si="5040"/>
        <v>3.2369715068088345</v>
      </c>
      <c r="BJ376" s="215">
        <f t="shared" si="5040"/>
        <v>1.6917302734084789</v>
      </c>
      <c r="BK376" s="215">
        <f t="shared" si="5040"/>
        <v>0.12266657099320111</v>
      </c>
    </row>
    <row r="377" spans="1:63" ht="7.8" x14ac:dyDescent="0.15">
      <c r="A377" s="218" t="s">
        <v>179</v>
      </c>
      <c r="B377" s="192"/>
      <c r="C377" s="192"/>
      <c r="D377" s="192"/>
      <c r="E377" s="192"/>
      <c r="F377" s="192"/>
      <c r="G377" s="192"/>
      <c r="H377" s="192"/>
      <c r="I377" s="192"/>
      <c r="J377" s="192"/>
      <c r="K377" s="192"/>
      <c r="L377" s="192"/>
      <c r="M377" s="192"/>
      <c r="N377" s="192"/>
      <c r="O377" s="192"/>
      <c r="P377" s="192"/>
      <c r="Q377" s="192"/>
      <c r="R377" s="192"/>
      <c r="S377" s="192"/>
      <c r="T377" s="192"/>
      <c r="U377" s="192"/>
      <c r="V377" s="192"/>
      <c r="W377" s="192"/>
      <c r="X377" s="192"/>
      <c r="Y377" s="192"/>
      <c r="Z377" s="192"/>
      <c r="AA377" s="192"/>
      <c r="AB377" s="192"/>
      <c r="AC377" s="192"/>
      <c r="AD377" s="192"/>
      <c r="AE377" s="192"/>
      <c r="AF377" s="192"/>
      <c r="AG377" s="192"/>
      <c r="AH377" s="192"/>
      <c r="AI377" s="192"/>
      <c r="AJ377" s="192"/>
      <c r="AK377" s="192"/>
      <c r="AL377" s="192"/>
      <c r="AM377" s="192"/>
      <c r="AN377" s="192"/>
      <c r="AO377" s="192"/>
      <c r="AP377" s="192"/>
      <c r="AQ377" s="192"/>
      <c r="AR377" s="192"/>
      <c r="AS377" s="219">
        <f>IF(AS376=0,0,PMT(INDEX(LoanCohortRate,1),LoanTerm, -LoanSize))</f>
        <v>1.5951445441303251</v>
      </c>
      <c r="AT377" s="222">
        <f t="shared" ref="AT377" si="5041">IF(AT376=0,0, AS377)</f>
        <v>1.5951445441303251</v>
      </c>
      <c r="AU377" s="222">
        <f t="shared" ref="AU377" si="5042">IF(AU376=0,0, AT377)</f>
        <v>1.5951445441303251</v>
      </c>
      <c r="AV377" s="222">
        <f t="shared" ref="AV377" si="5043">IF(AV376=0,0, AU377)</f>
        <v>1.5951445441303251</v>
      </c>
      <c r="AW377" s="222">
        <f t="shared" ref="AW377" si="5044">IF(AW376=0,0, AV377)</f>
        <v>1.5951445441303251</v>
      </c>
      <c r="AX377" s="222">
        <f t="shared" ref="AX377" si="5045">IF(AX376=0,0, AW377)</f>
        <v>1.5951445441303251</v>
      </c>
      <c r="AY377" s="222">
        <f t="shared" ref="AY377" si="5046">IF(AY376=0,0, AX377)</f>
        <v>1.5951445441303251</v>
      </c>
      <c r="AZ377" s="222">
        <f t="shared" ref="AZ377" si="5047">IF(AZ376=0,0, AY377)</f>
        <v>1.5951445441303251</v>
      </c>
      <c r="BA377" s="222">
        <f t="shared" ref="BA377" si="5048">IF(BA376=0,0, AZ377)</f>
        <v>1.5951445441303251</v>
      </c>
      <c r="BB377" s="222">
        <f t="shared" ref="BB377" si="5049">IF(BB376=0,0, BA377)</f>
        <v>1.5951445441303251</v>
      </c>
      <c r="BC377" s="222">
        <f t="shared" ref="BC377" si="5050">IF(BC376=0,0, BB377)</f>
        <v>1.5951445441303251</v>
      </c>
      <c r="BD377" s="222">
        <f t="shared" ref="BD377" si="5051">IF(BD376=0,0, BC377)</f>
        <v>1.5951445441303251</v>
      </c>
      <c r="BE377" s="222">
        <f t="shared" ref="BE377" si="5052">IF(BE376=0,0, BD377)</f>
        <v>1.5951445441303251</v>
      </c>
      <c r="BF377" s="222">
        <f t="shared" ref="BF377" si="5053">IF(BF376=0,0, BE377)</f>
        <v>1.5951445441303251</v>
      </c>
      <c r="BG377" s="222">
        <f t="shared" ref="BG377" si="5054">IF(BG376=0,0, BF377)</f>
        <v>1.5951445441303251</v>
      </c>
      <c r="BH377" s="222">
        <f t="shared" ref="BH377" si="5055">IF(BH376=0,0, BG377)</f>
        <v>1.5951445441303251</v>
      </c>
      <c r="BI377" s="222">
        <f t="shared" ref="BI377" si="5056">IF(BI376=0,0, BH377)</f>
        <v>1.5951445441303251</v>
      </c>
      <c r="BJ377" s="222">
        <f t="shared" ref="BJ377" si="5057">IF(BJ376=0,0, BI377)</f>
        <v>1.5951445441303251</v>
      </c>
      <c r="BK377" s="222">
        <f t="shared" ref="BK377" si="5058">IF(BK376=0,0, BJ377)</f>
        <v>1.5951445441303251</v>
      </c>
    </row>
    <row r="378" spans="1:63" ht="7.8" x14ac:dyDescent="0.15">
      <c r="A378" s="218" t="s">
        <v>180</v>
      </c>
      <c r="B378" s="192"/>
      <c r="C378" s="192"/>
      <c r="D378" s="192"/>
      <c r="E378" s="192"/>
      <c r="F378" s="192"/>
      <c r="G378" s="192"/>
      <c r="H378" s="192"/>
      <c r="I378" s="192"/>
      <c r="J378" s="192"/>
      <c r="K378" s="192"/>
      <c r="L378" s="192"/>
      <c r="M378" s="192"/>
      <c r="N378" s="192"/>
      <c r="O378" s="192"/>
      <c r="P378" s="192"/>
      <c r="Q378" s="192"/>
      <c r="R378" s="192"/>
      <c r="S378" s="192"/>
      <c r="T378" s="192"/>
      <c r="U378" s="192"/>
      <c r="V378" s="192"/>
      <c r="W378" s="192"/>
      <c r="X378" s="192"/>
      <c r="Y378" s="192"/>
      <c r="Z378" s="192"/>
      <c r="AA378" s="192"/>
      <c r="AB378" s="192"/>
      <c r="AC378" s="192"/>
      <c r="AD378" s="192"/>
      <c r="AE378" s="192"/>
      <c r="AF378" s="192"/>
      <c r="AG378" s="192"/>
      <c r="AH378" s="192"/>
      <c r="AI378" s="192"/>
      <c r="AJ378" s="192"/>
      <c r="AK378" s="192"/>
      <c r="AL378" s="192"/>
      <c r="AM378" s="192"/>
      <c r="AN378" s="192"/>
      <c r="AO378" s="192"/>
      <c r="AP378" s="192"/>
      <c r="AQ378" s="192"/>
      <c r="AR378" s="192"/>
      <c r="AS378" s="220" cm="1">
        <f t="array" ref="AS378">AS376*INDEX(LoanCohortRate,$A375)</f>
        <v>0.38541666666666669</v>
      </c>
      <c r="AT378" s="221" cm="1">
        <f t="array" ref="AT378">AT376*INDEX(LoanCohortRate,$A375)</f>
        <v>0.36676669522243527</v>
      </c>
      <c r="AU378" s="221" cm="1">
        <f t="array" ref="AU378">AU376*INDEX(LoanCohortRate,$A375)</f>
        <v>0.34782920338510526</v>
      </c>
      <c r="AV378" s="221" cm="1">
        <f t="array" ref="AV378">AV376*INDEX(LoanCohortRate,$A375)</f>
        <v>0.32859975854861645</v>
      </c>
      <c r="AW378" s="221" cm="1">
        <f t="array" ref="AW378">AW376*INDEX(LoanCohortRate,$A375)</f>
        <v>0.30907385977089846</v>
      </c>
      <c r="AX378" s="221" cm="1">
        <f t="array" ref="AX378">AX376*INDEX(LoanCohortRate,$A375)</f>
        <v>0.28924693672035728</v>
      </c>
      <c r="AY378" s="221" cm="1">
        <f t="array" ref="AY378">AY376*INDEX(LoanCohortRate,$A375)</f>
        <v>0.26911434860612032</v>
      </c>
      <c r="AZ378" s="221" cm="1">
        <f t="array" ref="AZ378">AZ376*INDEX(LoanCohortRate,$A375)</f>
        <v>0.24867138309178882</v>
      </c>
      <c r="BA378" s="221" cm="1">
        <f t="array" ref="BA378">BA376*INDEX(LoanCohortRate,$A375)</f>
        <v>0.22791325519244471</v>
      </c>
      <c r="BB378" s="221" cm="1">
        <f t="array" ref="BB378">BB376*INDEX(LoanCohortRate,$A375)</f>
        <v>0.20683510615465239</v>
      </c>
      <c r="BC378" s="221" cm="1">
        <f t="array" ref="BC378">BC376*INDEX(LoanCohortRate,$A375)</f>
        <v>0.1854320023191941</v>
      </c>
      <c r="BD378" s="221" cm="1">
        <f t="array" ref="BD378">BD376*INDEX(LoanCohortRate,$A375)</f>
        <v>0.1636989339662725</v>
      </c>
      <c r="BE378" s="221" cm="1">
        <f t="array" ref="BE378">BE376*INDEX(LoanCohortRate,$A375)</f>
        <v>0.14163081414291001</v>
      </c>
      <c r="BF378" s="221" cm="1">
        <f t="array" ref="BF378">BF376*INDEX(LoanCohortRate,$A375)</f>
        <v>0.11922247747227069</v>
      </c>
      <c r="BG378" s="221" cm="1">
        <f t="array" ref="BG378">BG376*INDEX(LoanCohortRate,$A375)</f>
        <v>9.6468678944625685E-2</v>
      </c>
      <c r="BH378" s="221" cm="1">
        <f t="array" ref="BH378">BH376*INDEX(LoanCohortRate,$A375)</f>
        <v>7.3364092689679486E-2</v>
      </c>
      <c r="BI378" s="221" cm="1">
        <f t="array" ref="BI378">BI376*INDEX(LoanCohortRate,$A375)</f>
        <v>4.9903310729969536E-2</v>
      </c>
      <c r="BJ378" s="221" cm="1">
        <f t="array" ref="BJ378">BJ376*INDEX(LoanCohortRate,$A375)</f>
        <v>2.6080841715047383E-2</v>
      </c>
      <c r="BK378" s="221" cm="1">
        <f t="array" ref="BK378">BK376*INDEX(LoanCohortRate,$A375)</f>
        <v>1.8911096361451838E-3</v>
      </c>
    </row>
    <row r="379" spans="1:63" ht="7.8" x14ac:dyDescent="0.15">
      <c r="A379" s="218" t="s">
        <v>177</v>
      </c>
      <c r="B379" s="192"/>
      <c r="C379" s="192"/>
      <c r="D379" s="192"/>
      <c r="E379" s="192"/>
      <c r="F379" s="192"/>
      <c r="G379" s="192"/>
      <c r="H379" s="192"/>
      <c r="I379" s="192"/>
      <c r="J379" s="192"/>
      <c r="K379" s="192"/>
      <c r="L379" s="192"/>
      <c r="M379" s="192"/>
      <c r="N379" s="192"/>
      <c r="O379" s="192"/>
      <c r="P379" s="192"/>
      <c r="Q379" s="192"/>
      <c r="R379" s="192"/>
      <c r="S379" s="192"/>
      <c r="T379" s="192"/>
      <c r="U379" s="192"/>
      <c r="V379" s="192"/>
      <c r="W379" s="192"/>
      <c r="X379" s="192"/>
      <c r="Y379" s="192"/>
      <c r="Z379" s="192"/>
      <c r="AA379" s="192"/>
      <c r="AB379" s="192"/>
      <c r="AC379" s="192"/>
      <c r="AD379" s="192"/>
      <c r="AE379" s="192"/>
      <c r="AF379" s="192"/>
      <c r="AG379" s="192"/>
      <c r="AH379" s="192"/>
      <c r="AI379" s="192"/>
      <c r="AJ379" s="192"/>
      <c r="AK379" s="192"/>
      <c r="AL379" s="192"/>
      <c r="AM379" s="192"/>
      <c r="AN379" s="192"/>
      <c r="AO379" s="192"/>
      <c r="AP379" s="192"/>
      <c r="AQ379" s="192"/>
      <c r="AR379" s="192"/>
      <c r="AS379" s="219">
        <f>AS377-AS378</f>
        <v>1.2097278774636584</v>
      </c>
      <c r="AT379" s="222">
        <f t="shared" ref="AT379:BK379" si="5059">AT377-AT378</f>
        <v>1.2283778489078898</v>
      </c>
      <c r="AU379" s="222">
        <f t="shared" si="5059"/>
        <v>1.24731534074522</v>
      </c>
      <c r="AV379" s="222">
        <f t="shared" si="5059"/>
        <v>1.2665447855817087</v>
      </c>
      <c r="AW379" s="222">
        <f t="shared" si="5059"/>
        <v>1.2860706843594267</v>
      </c>
      <c r="AX379" s="222">
        <f t="shared" si="5059"/>
        <v>1.305897607409968</v>
      </c>
      <c r="AY379" s="222">
        <f t="shared" si="5059"/>
        <v>1.3260301955242049</v>
      </c>
      <c r="AZ379" s="222">
        <f t="shared" si="5059"/>
        <v>1.3464731610385363</v>
      </c>
      <c r="BA379" s="222">
        <f t="shared" si="5059"/>
        <v>1.3672312889378804</v>
      </c>
      <c r="BB379" s="222">
        <f t="shared" si="5059"/>
        <v>1.3883094379756726</v>
      </c>
      <c r="BC379" s="222">
        <f t="shared" si="5059"/>
        <v>1.4097125418111309</v>
      </c>
      <c r="BD379" s="222">
        <f t="shared" si="5059"/>
        <v>1.4314456101640527</v>
      </c>
      <c r="BE379" s="222">
        <f t="shared" si="5059"/>
        <v>1.453513729987415</v>
      </c>
      <c r="BF379" s="222">
        <f t="shared" si="5059"/>
        <v>1.4759220666580544</v>
      </c>
      <c r="BG379" s="222">
        <f t="shared" si="5059"/>
        <v>1.4986758651856995</v>
      </c>
      <c r="BH379" s="222">
        <f t="shared" si="5059"/>
        <v>1.5217804514406457</v>
      </c>
      <c r="BI379" s="222">
        <f t="shared" si="5059"/>
        <v>1.5452412334003556</v>
      </c>
      <c r="BJ379" s="222">
        <f t="shared" si="5059"/>
        <v>1.5690637024152778</v>
      </c>
      <c r="BK379" s="222">
        <f t="shared" si="5059"/>
        <v>1.59325343449418</v>
      </c>
    </row>
    <row r="380" spans="1:63" ht="7.8" x14ac:dyDescent="0.15">
      <c r="A380" s="205" t="s">
        <v>7</v>
      </c>
      <c r="B380" s="192"/>
      <c r="C380" s="192"/>
      <c r="D380" s="192"/>
      <c r="E380" s="192"/>
      <c r="F380" s="192"/>
      <c r="G380" s="192"/>
      <c r="H380" s="192"/>
      <c r="I380" s="192"/>
      <c r="J380" s="192"/>
      <c r="K380" s="192"/>
      <c r="L380" s="192"/>
      <c r="M380" s="192"/>
      <c r="N380" s="192"/>
      <c r="O380" s="192"/>
      <c r="P380" s="192"/>
      <c r="Q380" s="192"/>
      <c r="R380" s="192"/>
      <c r="S380" s="192"/>
      <c r="T380" s="192"/>
      <c r="U380" s="192"/>
      <c r="V380" s="192"/>
      <c r="W380" s="192"/>
      <c r="X380" s="192"/>
      <c r="Y380" s="192"/>
      <c r="Z380" s="192"/>
      <c r="AA380" s="192"/>
      <c r="AB380" s="192"/>
      <c r="AC380" s="192"/>
      <c r="AD380" s="192"/>
      <c r="AE380" s="192"/>
      <c r="AF380" s="192"/>
      <c r="AG380" s="192"/>
      <c r="AH380" s="192"/>
      <c r="AI380" s="192"/>
      <c r="AJ380" s="192"/>
      <c r="AK380" s="192"/>
      <c r="AL380" s="192"/>
      <c r="AM380" s="192"/>
      <c r="AN380" s="192"/>
      <c r="AO380" s="192"/>
      <c r="AP380" s="192"/>
      <c r="AQ380" s="192"/>
      <c r="AR380" s="192"/>
      <c r="AS380" s="214" cm="1">
        <f t="array" ref="AS380">INDEX(LoanOriginations,$A375)</f>
        <v>122.68982076692274</v>
      </c>
      <c r="AT380" s="199">
        <f t="shared" ref="AT380:BK380" si="5060">AS380*(1-MitigateDelinquency*MitigateChargeoff)  *  IF(AT375=0,0,IF(AT375-102=LoanSaleHeld,0.6,1))</f>
        <v>122.56713094615581</v>
      </c>
      <c r="AU380" s="199">
        <f t="shared" si="5060"/>
        <v>122.44456381520966</v>
      </c>
      <c r="AV380" s="199">
        <f t="shared" si="5060"/>
        <v>122.32211925139445</v>
      </c>
      <c r="AW380" s="199">
        <f t="shared" si="5060"/>
        <v>73.319878279285831</v>
      </c>
      <c r="AX380" s="199">
        <f t="shared" si="5060"/>
        <v>73.246558401006538</v>
      </c>
      <c r="AY380" s="199">
        <f t="shared" si="5060"/>
        <v>73.173311842605528</v>
      </c>
      <c r="AZ380" s="199">
        <f t="shared" si="5060"/>
        <v>73.100138530762919</v>
      </c>
      <c r="BA380" s="199">
        <f t="shared" si="5060"/>
        <v>73.027038392232157</v>
      </c>
      <c r="BB380" s="199">
        <f t="shared" si="5060"/>
        <v>72.954011353839931</v>
      </c>
      <c r="BC380" s="199">
        <f t="shared" si="5060"/>
        <v>72.881057342486088</v>
      </c>
      <c r="BD380" s="199">
        <f t="shared" si="5060"/>
        <v>72.808176285143603</v>
      </c>
      <c r="BE380" s="199">
        <f t="shared" si="5060"/>
        <v>72.735368108858452</v>
      </c>
      <c r="BF380" s="199">
        <f t="shared" si="5060"/>
        <v>72.662632740749601</v>
      </c>
      <c r="BG380" s="199">
        <f t="shared" si="5060"/>
        <v>72.589970108008856</v>
      </c>
      <c r="BH380" s="199">
        <f t="shared" si="5060"/>
        <v>72.517380137900844</v>
      </c>
      <c r="BI380" s="199">
        <f t="shared" si="5060"/>
        <v>72.444862757762948</v>
      </c>
      <c r="BJ380" s="199">
        <f t="shared" si="5060"/>
        <v>72.372417895005185</v>
      </c>
      <c r="BK380" s="199">
        <f t="shared" si="5060"/>
        <v>72.300045477110174</v>
      </c>
    </row>
    <row r="381" spans="1:63" ht="7.8" x14ac:dyDescent="0.15">
      <c r="A381" s="207" t="s">
        <v>96</v>
      </c>
      <c r="B381" s="192"/>
      <c r="C381" s="192"/>
      <c r="D381" s="192"/>
      <c r="E381" s="192"/>
      <c r="F381" s="192"/>
      <c r="G381" s="192"/>
      <c r="H381" s="192"/>
      <c r="I381" s="192"/>
      <c r="J381" s="192"/>
      <c r="K381" s="192"/>
      <c r="L381" s="192"/>
      <c r="M381" s="192"/>
      <c r="N381" s="192"/>
      <c r="O381" s="192"/>
      <c r="P381" s="192"/>
      <c r="Q381" s="192"/>
      <c r="R381" s="192"/>
      <c r="S381" s="192"/>
      <c r="T381" s="192"/>
      <c r="U381" s="192"/>
      <c r="V381" s="192"/>
      <c r="W381" s="192"/>
      <c r="X381" s="192"/>
      <c r="Y381" s="192"/>
      <c r="Z381" s="192"/>
      <c r="AA381" s="192"/>
      <c r="AB381" s="192"/>
      <c r="AC381" s="192"/>
      <c r="AD381" s="192"/>
      <c r="AE381" s="192"/>
      <c r="AF381" s="192"/>
      <c r="AG381" s="192"/>
      <c r="AH381" s="192"/>
      <c r="AI381" s="192"/>
      <c r="AJ381" s="192"/>
      <c r="AK381" s="192"/>
      <c r="AL381" s="192"/>
      <c r="AM381" s="192"/>
      <c r="AN381" s="192"/>
      <c r="AO381" s="192"/>
      <c r="AP381" s="192"/>
      <c r="AQ381" s="192"/>
      <c r="AR381" s="192"/>
      <c r="AS381" s="223">
        <f>AS378*AS380</f>
        <v>47.286701753918138</v>
      </c>
      <c r="AT381" s="200">
        <f t="shared" ref="AT381" si="5061">AT378*AT380</f>
        <v>44.953541560017044</v>
      </c>
      <c r="AU381" s="200">
        <f t="shared" ref="AU381" si="5062">AU378*AU380</f>
        <v>42.589795090681058</v>
      </c>
      <c r="AV381" s="200">
        <f t="shared" ref="AV381" si="5063">AV378*AV380</f>
        <v>40.195018851163283</v>
      </c>
      <c r="AW381" s="200">
        <f t="shared" ref="AW381" si="5064">AW378*AW380</f>
        <v>22.661257777711334</v>
      </c>
      <c r="AX381" s="200">
        <f t="shared" ref="AX381" si="5065">AX378*AX380</f>
        <v>21.186342642799893</v>
      </c>
      <c r="AY381" s="200">
        <f t="shared" ref="AY381" si="5066">AY378*AY380</f>
        <v>19.691988151875297</v>
      </c>
      <c r="AZ381" s="200">
        <f t="shared" ref="AZ381" si="5067">AZ378*AZ380</f>
        <v>18.17791255264618</v>
      </c>
      <c r="BA381" s="200">
        <f t="shared" ref="BA381" si="5068">BA378*BA380</f>
        <v>16.643830037037265</v>
      </c>
      <c r="BB381" s="200">
        <f t="shared" ref="BB381" si="5069">BB378*BB380</f>
        <v>15.089450682779198</v>
      </c>
      <c r="BC381" s="200">
        <f t="shared" ref="BC381" si="5070">BC378*BC380</f>
        <v>13.514480394157198</v>
      </c>
      <c r="BD381" s="200">
        <f t="shared" ref="BD381" si="5071">BD378*BD380</f>
        <v>11.918620841906449</v>
      </c>
      <c r="BE381" s="200">
        <f t="shared" ref="BE381" si="5072">BE378*BE380</f>
        <v>10.301569402241876</v>
      </c>
      <c r="BF381" s="200">
        <f t="shared" ref="BF381" si="5073">BF378*BF380</f>
        <v>8.6630190950098971</v>
      </c>
      <c r="BG381" s="200">
        <f t="shared" ref="BG381" si="5074">BG378*BG380</f>
        <v>7.002658520949482</v>
      </c>
      <c r="BH381" s="200">
        <f t="shared" ref="BH381" si="5075">BH378*BH380</f>
        <v>5.3201717980496799</v>
      </c>
      <c r="BI381" s="200">
        <f t="shared" ref="BI381" si="5076">BI378*BI380</f>
        <v>3.6152384969906421</v>
      </c>
      <c r="BJ381" s="200">
        <f t="shared" ref="BJ381" si="5077">BJ378*BJ380</f>
        <v>1.887533575654893</v>
      </c>
      <c r="BK381" s="200">
        <f t="shared" ref="BK381" si="5078">BK378*BK380</f>
        <v>0.13672731269549807</v>
      </c>
    </row>
    <row r="382" spans="1:63" ht="7.8" x14ac:dyDescent="0.15">
      <c r="A382" s="206" t="s">
        <v>97</v>
      </c>
      <c r="B382" s="192"/>
      <c r="C382" s="192"/>
      <c r="D382" s="192"/>
      <c r="E382" s="192"/>
      <c r="F382" s="192"/>
      <c r="G382" s="192"/>
      <c r="H382" s="192"/>
      <c r="I382" s="192"/>
      <c r="J382" s="192"/>
      <c r="K382" s="192"/>
      <c r="L382" s="192"/>
      <c r="M382" s="192"/>
      <c r="N382" s="192"/>
      <c r="O382" s="192"/>
      <c r="P382" s="192"/>
      <c r="Q382" s="192"/>
      <c r="R382" s="192"/>
      <c r="S382" s="192"/>
      <c r="T382" s="192"/>
      <c r="U382" s="192"/>
      <c r="V382" s="192"/>
      <c r="W382" s="192"/>
      <c r="X382" s="192"/>
      <c r="Y382" s="192"/>
      <c r="Z382" s="192"/>
      <c r="AA382" s="192"/>
      <c r="AB382" s="192"/>
      <c r="AC382" s="192"/>
      <c r="AD382" s="192"/>
      <c r="AE382" s="192"/>
      <c r="AF382" s="192"/>
      <c r="AG382" s="192"/>
      <c r="AH382" s="192"/>
      <c r="AI382" s="192"/>
      <c r="AJ382" s="192"/>
      <c r="AK382" s="192"/>
      <c r="AL382" s="192"/>
      <c r="AM382" s="192"/>
      <c r="AN382" s="192"/>
      <c r="AO382" s="192"/>
      <c r="AP382" s="192"/>
      <c r="AQ382" s="192"/>
      <c r="AR382" s="192"/>
      <c r="AS382" s="223">
        <f>AS379*AS380</f>
        <v>148.42129646276612</v>
      </c>
      <c r="AT382" s="200">
        <f>AT379*AT380</f>
        <v>150.55874865845053</v>
      </c>
      <c r="AU382" s="200">
        <f t="shared" ref="AU382:BK382" si="5079">AU379*AU380</f>
        <v>152.72698283756807</v>
      </c>
      <c r="AV382" s="200">
        <f t="shared" si="5079"/>
        <v>154.9264422991576</v>
      </c>
      <c r="AW382" s="200">
        <f t="shared" si="5079"/>
        <v>94.294546035791001</v>
      </c>
      <c r="AX382" s="200">
        <f t="shared" si="5079"/>
        <v>95.652505366888931</v>
      </c>
      <c r="AY382" s="200">
        <f t="shared" si="5079"/>
        <v>97.030021009803818</v>
      </c>
      <c r="AZ382" s="200">
        <f t="shared" si="5079"/>
        <v>98.427374599871257</v>
      </c>
      <c r="BA382" s="200">
        <f t="shared" si="5079"/>
        <v>99.844851828327648</v>
      </c>
      <c r="BB382" s="200">
        <f t="shared" si="5079"/>
        <v>101.28274250072036</v>
      </c>
      <c r="BC382" s="200">
        <f t="shared" si="5079"/>
        <v>102.74134059615885</v>
      </c>
      <c r="BD382" s="200">
        <f t="shared" si="5079"/>
        <v>104.22094432741929</v>
      </c>
      <c r="BE382" s="200">
        <f t="shared" si="5079"/>
        <v>105.72185620191452</v>
      </c>
      <c r="BF382" s="200">
        <f t="shared" si="5079"/>
        <v>107.24438308354236</v>
      </c>
      <c r="BG382" s="200">
        <f t="shared" si="5079"/>
        <v>108.78883625542424</v>
      </c>
      <c r="BH382" s="200">
        <f t="shared" si="5079"/>
        <v>110.35553148354765</v>
      </c>
      <c r="BI382" s="200">
        <f t="shared" si="5079"/>
        <v>111.9447890813251</v>
      </c>
      <c r="BJ382" s="200">
        <f t="shared" si="5079"/>
        <v>113.55693397508254</v>
      </c>
      <c r="BK382" s="200">
        <f t="shared" si="5079"/>
        <v>115.19229577049119</v>
      </c>
    </row>
    <row r="383" spans="1:63" ht="7.8" x14ac:dyDescent="0.15">
      <c r="A383" s="208" t="s">
        <v>203</v>
      </c>
      <c r="B383" s="192"/>
      <c r="C383" s="192"/>
      <c r="D383" s="192"/>
      <c r="E383" s="192"/>
      <c r="F383" s="192"/>
      <c r="G383" s="192"/>
      <c r="H383" s="192"/>
      <c r="I383" s="192"/>
      <c r="J383" s="192"/>
      <c r="K383" s="192"/>
      <c r="L383" s="192"/>
      <c r="M383" s="192"/>
      <c r="N383" s="192"/>
      <c r="O383" s="192"/>
      <c r="P383" s="192"/>
      <c r="Q383" s="192"/>
      <c r="R383" s="192"/>
      <c r="S383" s="192"/>
      <c r="T383" s="192"/>
      <c r="U383" s="192"/>
      <c r="V383" s="192"/>
      <c r="W383" s="192"/>
      <c r="X383" s="192"/>
      <c r="Y383" s="192"/>
      <c r="Z383" s="192"/>
      <c r="AA383" s="192"/>
      <c r="AB383" s="192"/>
      <c r="AC383" s="192"/>
      <c r="AD383" s="192"/>
      <c r="AE383" s="192"/>
      <c r="AF383" s="192"/>
      <c r="AG383" s="192"/>
      <c r="AH383" s="192"/>
      <c r="AI383" s="192"/>
      <c r="AJ383" s="192"/>
      <c r="AK383" s="192"/>
      <c r="AL383" s="192"/>
      <c r="AM383" s="192"/>
      <c r="AN383" s="192"/>
      <c r="AO383" s="192"/>
      <c r="AP383" s="192"/>
      <c r="AQ383" s="192"/>
      <c r="AR383" s="192"/>
      <c r="AS383" s="224">
        <f>IF(AS375-101&lt;&gt;LoanSaleHeld,0,SUM($D382:AS382)*LoanSalePercent)</f>
        <v>0</v>
      </c>
      <c r="AT383" s="225">
        <f>IF(AT375-101&lt;&gt;LoanSaleHeld,0,SUM($D382:AT382)*LoanSalePercent)</f>
        <v>0</v>
      </c>
      <c r="AU383" s="225">
        <f>IF(AU375-101&lt;&gt;LoanSaleHeld,0,SUM($D382:AU382)*LoanSalePercent)</f>
        <v>0</v>
      </c>
      <c r="AV383" s="225">
        <f>IF(AV375-101&lt;&gt;LoanSaleHeld,0,SUM($D382:AV382)*LoanSalePercent)</f>
        <v>242.65338810317695</v>
      </c>
      <c r="AW383" s="225">
        <f>IF(AW375-101&lt;&gt;LoanSaleHeld,0,SUM($D382:AW382)*LoanSalePercent)</f>
        <v>0</v>
      </c>
      <c r="AX383" s="225">
        <f>IF(AX375-101&lt;&gt;LoanSaleHeld,0,SUM($D382:AX382)*LoanSalePercent)</f>
        <v>0</v>
      </c>
      <c r="AY383" s="225">
        <f>IF(AY375-101&lt;&gt;LoanSaleHeld,0,SUM($D382:AY382)*LoanSalePercent)</f>
        <v>0</v>
      </c>
      <c r="AZ383" s="225">
        <f>IF(AZ375-101&lt;&gt;LoanSaleHeld,0,SUM($D382:AZ382)*LoanSalePercent)</f>
        <v>0</v>
      </c>
      <c r="BA383" s="225">
        <f>IF(BA375-101&lt;&gt;LoanSaleHeld,0,SUM($D382:BA382)*LoanSalePercent)</f>
        <v>0</v>
      </c>
      <c r="BB383" s="225">
        <f>IF(BB375-101&lt;&gt;LoanSaleHeld,0,SUM($D382:BB382)*LoanSalePercent)</f>
        <v>0</v>
      </c>
      <c r="BC383" s="225">
        <f>IF(BC375-101&lt;&gt;LoanSaleHeld,0,SUM($D382:BC382)*LoanSalePercent)</f>
        <v>0</v>
      </c>
      <c r="BD383" s="225">
        <f>IF(BD375-101&lt;&gt;LoanSaleHeld,0,SUM($D382:BD382)*LoanSalePercent)</f>
        <v>0</v>
      </c>
      <c r="BE383" s="225">
        <f>IF(BE375-101&lt;&gt;LoanSaleHeld,0,SUM($D382:BE382)*LoanSalePercent)</f>
        <v>0</v>
      </c>
      <c r="BF383" s="225">
        <f>IF(BF375-101&lt;&gt;LoanSaleHeld,0,SUM($D382:BF382)*LoanSalePercent)</f>
        <v>0</v>
      </c>
      <c r="BG383" s="225">
        <f>IF(BG375-101&lt;&gt;LoanSaleHeld,0,SUM($D382:BG382)*LoanSalePercent)</f>
        <v>0</v>
      </c>
      <c r="BH383" s="225">
        <f>IF(BH375-101&lt;&gt;LoanSaleHeld,0,SUM($D382:BH382)*LoanSalePercent)</f>
        <v>0</v>
      </c>
      <c r="BI383" s="225">
        <f>IF(BI375-101&lt;&gt;LoanSaleHeld,0,SUM($D382:BI382)*LoanSalePercent)</f>
        <v>0</v>
      </c>
      <c r="BJ383" s="225">
        <f>IF(BJ375-101&lt;&gt;LoanSaleHeld,0,SUM($D382:BJ382)*LoanSalePercent)</f>
        <v>0</v>
      </c>
      <c r="BK383" s="225">
        <f>IF(BK375-101&lt;&gt;LoanSaleHeld,0,SUM($D382:BK382)*LoanSalePercent)</f>
        <v>0</v>
      </c>
    </row>
    <row r="384" spans="1:63" ht="7.8" x14ac:dyDescent="0.15">
      <c r="A384" s="204">
        <f t="shared" ref="A384" si="5080">A375+1</f>
        <v>43</v>
      </c>
      <c r="B384" s="192"/>
      <c r="C384" s="192"/>
      <c r="D384" s="192"/>
      <c r="E384" s="192"/>
      <c r="F384" s="192"/>
      <c r="G384" s="192"/>
      <c r="H384" s="192"/>
      <c r="I384" s="192"/>
      <c r="J384" s="192"/>
      <c r="K384" s="192"/>
      <c r="L384" s="192"/>
      <c r="M384" s="192"/>
      <c r="N384" s="192"/>
      <c r="O384" s="192"/>
      <c r="P384" s="192"/>
      <c r="Q384" s="192"/>
      <c r="R384" s="192"/>
      <c r="S384" s="192"/>
      <c r="T384" s="192"/>
      <c r="U384" s="192"/>
      <c r="V384" s="192"/>
      <c r="W384" s="192"/>
      <c r="X384" s="192"/>
      <c r="Y384" s="192"/>
      <c r="Z384" s="192"/>
      <c r="AA384" s="192"/>
      <c r="AB384" s="192"/>
      <c r="AC384" s="192"/>
      <c r="AD384" s="192"/>
      <c r="AE384" s="192"/>
      <c r="AF384" s="192"/>
      <c r="AG384" s="192"/>
      <c r="AH384" s="192"/>
      <c r="AI384" s="192"/>
      <c r="AJ384" s="192"/>
      <c r="AK384" s="192"/>
      <c r="AL384" s="192"/>
      <c r="AM384" s="192"/>
      <c r="AN384" s="192"/>
      <c r="AO384" s="192"/>
      <c r="AP384" s="192"/>
      <c r="AQ384" s="192"/>
      <c r="AR384" s="192"/>
      <c r="AS384" s="192"/>
      <c r="AT384" s="195">
        <v>101</v>
      </c>
      <c r="AU384" s="196">
        <f t="shared" ref="AU384" si="5081">IF(AU385=0,0,AT384+1)</f>
        <v>102</v>
      </c>
      <c r="AV384" s="196">
        <f t="shared" ref="AV384" si="5082">IF(AV385=0,0,AU384+1)</f>
        <v>103</v>
      </c>
      <c r="AW384" s="196">
        <f t="shared" ref="AW384" si="5083">IF(AW385=0,0,AV384+1)</f>
        <v>104</v>
      </c>
      <c r="AX384" s="196">
        <f t="shared" ref="AX384" si="5084">IF(AX385=0,0,AW384+1)</f>
        <v>105</v>
      </c>
      <c r="AY384" s="196">
        <f t="shared" ref="AY384" si="5085">IF(AY385=0,0,AX384+1)</f>
        <v>106</v>
      </c>
      <c r="AZ384" s="196">
        <f t="shared" ref="AZ384" si="5086">IF(AZ385=0,0,AY384+1)</f>
        <v>107</v>
      </c>
      <c r="BA384" s="196">
        <f t="shared" ref="BA384" si="5087">IF(BA385=0,0,AZ384+1)</f>
        <v>108</v>
      </c>
      <c r="BB384" s="196">
        <f t="shared" ref="BB384" si="5088">IF(BB385=0,0,BA384+1)</f>
        <v>109</v>
      </c>
      <c r="BC384" s="196">
        <f t="shared" ref="BC384" si="5089">IF(BC385=0,0,BB384+1)</f>
        <v>110</v>
      </c>
      <c r="BD384" s="196">
        <f t="shared" ref="BD384" si="5090">IF(BD385=0,0,BC384+1)</f>
        <v>111</v>
      </c>
      <c r="BE384" s="196">
        <f t="shared" ref="BE384" si="5091">IF(BE385=0,0,BD384+1)</f>
        <v>112</v>
      </c>
      <c r="BF384" s="196">
        <f t="shared" ref="BF384" si="5092">IF(BF385=0,0,BE384+1)</f>
        <v>113</v>
      </c>
      <c r="BG384" s="196">
        <f t="shared" ref="BG384" si="5093">IF(BG385=0,0,BF384+1)</f>
        <v>114</v>
      </c>
      <c r="BH384" s="196">
        <f t="shared" ref="BH384" si="5094">IF(BH385=0,0,BG384+1)</f>
        <v>115</v>
      </c>
      <c r="BI384" s="196">
        <f t="shared" ref="BI384" si="5095">IF(BI385=0,0,BH384+1)</f>
        <v>116</v>
      </c>
      <c r="BJ384" s="196">
        <f t="shared" ref="BJ384" si="5096">IF(BJ385=0,0,BI384+1)</f>
        <v>117</v>
      </c>
      <c r="BK384" s="196">
        <f t="shared" ref="BK384" si="5097">IF(BK385=0,0,BJ384+1)</f>
        <v>118</v>
      </c>
    </row>
    <row r="385" spans="1:63" ht="7.8" x14ac:dyDescent="0.15">
      <c r="A385" s="216" t="s">
        <v>178</v>
      </c>
      <c r="B385" s="192"/>
      <c r="C385" s="192"/>
      <c r="D385" s="192"/>
      <c r="E385" s="192"/>
      <c r="F385" s="192"/>
      <c r="G385" s="192"/>
      <c r="H385" s="192"/>
      <c r="I385" s="192"/>
      <c r="J385" s="192"/>
      <c r="K385" s="192"/>
      <c r="L385" s="192"/>
      <c r="M385" s="192"/>
      <c r="N385" s="192"/>
      <c r="O385" s="192"/>
      <c r="P385" s="192"/>
      <c r="Q385" s="192"/>
      <c r="R385" s="192"/>
      <c r="S385" s="192"/>
      <c r="T385" s="192"/>
      <c r="U385" s="192"/>
      <c r="V385" s="192"/>
      <c r="W385" s="192"/>
      <c r="X385" s="192"/>
      <c r="Y385" s="192"/>
      <c r="Z385" s="192"/>
      <c r="AA385" s="192"/>
      <c r="AB385" s="192"/>
      <c r="AC385" s="192"/>
      <c r="AD385" s="192"/>
      <c r="AE385" s="192"/>
      <c r="AF385" s="192"/>
      <c r="AG385" s="192"/>
      <c r="AH385" s="192"/>
      <c r="AI385" s="192"/>
      <c r="AJ385" s="192"/>
      <c r="AK385" s="192"/>
      <c r="AL385" s="192"/>
      <c r="AM385" s="192"/>
      <c r="AN385" s="192"/>
      <c r="AO385" s="192"/>
      <c r="AP385" s="192"/>
      <c r="AQ385" s="192"/>
      <c r="AR385" s="192"/>
      <c r="AS385" s="192"/>
      <c r="AT385" s="217">
        <f>LoanSize</f>
        <v>25</v>
      </c>
      <c r="AU385" s="215">
        <f>IF(AT385-AT388&lt;=0.1,0,AT385-AT388)</f>
        <v>23.79027212253634</v>
      </c>
      <c r="AV385" s="215">
        <f t="shared" ref="AV385:BK385" si="5098">IF(AU385-AU388&lt;=0.1,0,AU385-AU388)</f>
        <v>22.56189427362845</v>
      </c>
      <c r="AW385" s="215">
        <f t="shared" si="5098"/>
        <v>21.314578932883229</v>
      </c>
      <c r="AX385" s="215">
        <f t="shared" si="5098"/>
        <v>20.048034147301522</v>
      </c>
      <c r="AY385" s="215">
        <f t="shared" si="5098"/>
        <v>18.761963462942095</v>
      </c>
      <c r="AZ385" s="215">
        <f t="shared" si="5098"/>
        <v>17.456065855532128</v>
      </c>
      <c r="BA385" s="215">
        <f t="shared" si="5098"/>
        <v>16.130035660007923</v>
      </c>
      <c r="BB385" s="215">
        <f t="shared" si="5098"/>
        <v>14.783562498969387</v>
      </c>
      <c r="BC385" s="215">
        <f t="shared" si="5098"/>
        <v>13.416331210031506</v>
      </c>
      <c r="BD385" s="215">
        <f t="shared" si="5098"/>
        <v>12.028021772055833</v>
      </c>
      <c r="BE385" s="215">
        <f t="shared" si="5098"/>
        <v>10.618309230244702</v>
      </c>
      <c r="BF385" s="215">
        <f t="shared" si="5098"/>
        <v>9.1868636200806488</v>
      </c>
      <c r="BG385" s="215">
        <f t="shared" si="5098"/>
        <v>7.7333498900932334</v>
      </c>
      <c r="BH385" s="215">
        <f t="shared" si="5098"/>
        <v>6.2574278234351794</v>
      </c>
      <c r="BI385" s="215">
        <f t="shared" si="5098"/>
        <v>4.7587519582494799</v>
      </c>
      <c r="BJ385" s="215">
        <f t="shared" si="5098"/>
        <v>3.2369715068088345</v>
      </c>
      <c r="BK385" s="215">
        <f t="shared" si="5098"/>
        <v>1.6917302734084789</v>
      </c>
    </row>
    <row r="386" spans="1:63" ht="7.8" x14ac:dyDescent="0.15">
      <c r="A386" s="218" t="s">
        <v>179</v>
      </c>
      <c r="B386" s="192"/>
      <c r="C386" s="192"/>
      <c r="D386" s="192"/>
      <c r="E386" s="192"/>
      <c r="F386" s="192"/>
      <c r="G386" s="192"/>
      <c r="H386" s="192"/>
      <c r="I386" s="192"/>
      <c r="J386" s="192"/>
      <c r="K386" s="192"/>
      <c r="L386" s="192"/>
      <c r="M386" s="192"/>
      <c r="N386" s="192"/>
      <c r="O386" s="192"/>
      <c r="P386" s="192"/>
      <c r="Q386" s="192"/>
      <c r="R386" s="192"/>
      <c r="S386" s="192"/>
      <c r="T386" s="192"/>
      <c r="U386" s="192"/>
      <c r="V386" s="192"/>
      <c r="W386" s="192"/>
      <c r="X386" s="192"/>
      <c r="Y386" s="192"/>
      <c r="Z386" s="192"/>
      <c r="AA386" s="192"/>
      <c r="AB386" s="192"/>
      <c r="AC386" s="192"/>
      <c r="AD386" s="192"/>
      <c r="AE386" s="192"/>
      <c r="AF386" s="192"/>
      <c r="AG386" s="192"/>
      <c r="AH386" s="192"/>
      <c r="AI386" s="192"/>
      <c r="AJ386" s="192"/>
      <c r="AK386" s="192"/>
      <c r="AL386" s="192"/>
      <c r="AM386" s="192"/>
      <c r="AN386" s="192"/>
      <c r="AO386" s="192"/>
      <c r="AP386" s="192"/>
      <c r="AQ386" s="192"/>
      <c r="AR386" s="192"/>
      <c r="AS386" s="192"/>
      <c r="AT386" s="219">
        <f>IF(AT385=0,0,PMT(INDEX(LoanCohortRate,1),LoanTerm, -LoanSize))</f>
        <v>1.5951445441303251</v>
      </c>
      <c r="AU386" s="222">
        <f t="shared" ref="AU386" si="5099">IF(AU385=0,0, AT386)</f>
        <v>1.5951445441303251</v>
      </c>
      <c r="AV386" s="222">
        <f t="shared" ref="AV386" si="5100">IF(AV385=0,0, AU386)</f>
        <v>1.5951445441303251</v>
      </c>
      <c r="AW386" s="222">
        <f t="shared" ref="AW386" si="5101">IF(AW385=0,0, AV386)</f>
        <v>1.5951445441303251</v>
      </c>
      <c r="AX386" s="222">
        <f t="shared" ref="AX386" si="5102">IF(AX385=0,0, AW386)</f>
        <v>1.5951445441303251</v>
      </c>
      <c r="AY386" s="222">
        <f t="shared" ref="AY386" si="5103">IF(AY385=0,0, AX386)</f>
        <v>1.5951445441303251</v>
      </c>
      <c r="AZ386" s="222">
        <f t="shared" ref="AZ386" si="5104">IF(AZ385=0,0, AY386)</f>
        <v>1.5951445441303251</v>
      </c>
      <c r="BA386" s="222">
        <f t="shared" ref="BA386" si="5105">IF(BA385=0,0, AZ386)</f>
        <v>1.5951445441303251</v>
      </c>
      <c r="BB386" s="222">
        <f t="shared" ref="BB386" si="5106">IF(BB385=0,0, BA386)</f>
        <v>1.5951445441303251</v>
      </c>
      <c r="BC386" s="222">
        <f t="shared" ref="BC386" si="5107">IF(BC385=0,0, BB386)</f>
        <v>1.5951445441303251</v>
      </c>
      <c r="BD386" s="222">
        <f t="shared" ref="BD386" si="5108">IF(BD385=0,0, BC386)</f>
        <v>1.5951445441303251</v>
      </c>
      <c r="BE386" s="222">
        <f t="shared" ref="BE386" si="5109">IF(BE385=0,0, BD386)</f>
        <v>1.5951445441303251</v>
      </c>
      <c r="BF386" s="222">
        <f t="shared" ref="BF386" si="5110">IF(BF385=0,0, BE386)</f>
        <v>1.5951445441303251</v>
      </c>
      <c r="BG386" s="222">
        <f t="shared" ref="BG386" si="5111">IF(BG385=0,0, BF386)</f>
        <v>1.5951445441303251</v>
      </c>
      <c r="BH386" s="222">
        <f t="shared" ref="BH386" si="5112">IF(BH385=0,0, BG386)</f>
        <v>1.5951445441303251</v>
      </c>
      <c r="BI386" s="222">
        <f t="shared" ref="BI386" si="5113">IF(BI385=0,0, BH386)</f>
        <v>1.5951445441303251</v>
      </c>
      <c r="BJ386" s="222">
        <f t="shared" ref="BJ386" si="5114">IF(BJ385=0,0, BI386)</f>
        <v>1.5951445441303251</v>
      </c>
      <c r="BK386" s="222">
        <f t="shared" ref="BK386" si="5115">IF(BK385=0,0, BJ386)</f>
        <v>1.5951445441303251</v>
      </c>
    </row>
    <row r="387" spans="1:63" ht="7.8" x14ac:dyDescent="0.15">
      <c r="A387" s="218" t="s">
        <v>180</v>
      </c>
      <c r="B387" s="192"/>
      <c r="C387" s="192"/>
      <c r="D387" s="192"/>
      <c r="E387" s="192"/>
      <c r="F387" s="192"/>
      <c r="G387" s="192"/>
      <c r="H387" s="192"/>
      <c r="I387" s="192"/>
      <c r="J387" s="192"/>
      <c r="K387" s="192"/>
      <c r="L387" s="192"/>
      <c r="M387" s="192"/>
      <c r="N387" s="192"/>
      <c r="O387" s="192"/>
      <c r="P387" s="192"/>
      <c r="Q387" s="192"/>
      <c r="R387" s="192"/>
      <c r="S387" s="192"/>
      <c r="T387" s="192"/>
      <c r="U387" s="192"/>
      <c r="V387" s="192"/>
      <c r="W387" s="192"/>
      <c r="X387" s="192"/>
      <c r="Y387" s="192"/>
      <c r="Z387" s="192"/>
      <c r="AA387" s="192"/>
      <c r="AB387" s="192"/>
      <c r="AC387" s="192"/>
      <c r="AD387" s="192"/>
      <c r="AE387" s="192"/>
      <c r="AF387" s="192"/>
      <c r="AG387" s="192"/>
      <c r="AH387" s="192"/>
      <c r="AI387" s="192"/>
      <c r="AJ387" s="192"/>
      <c r="AK387" s="192"/>
      <c r="AL387" s="192"/>
      <c r="AM387" s="192"/>
      <c r="AN387" s="192"/>
      <c r="AO387" s="192"/>
      <c r="AP387" s="192"/>
      <c r="AQ387" s="192"/>
      <c r="AR387" s="192"/>
      <c r="AS387" s="192"/>
      <c r="AT387" s="220" cm="1">
        <f t="array" ref="AT387">AT385*INDEX(LoanCohortRate,$A384)</f>
        <v>0.38541666666666669</v>
      </c>
      <c r="AU387" s="221" cm="1">
        <f t="array" ref="AU387">AU385*INDEX(LoanCohortRate,$A384)</f>
        <v>0.36676669522243527</v>
      </c>
      <c r="AV387" s="221" cm="1">
        <f t="array" ref="AV387">AV385*INDEX(LoanCohortRate,$A384)</f>
        <v>0.34782920338510526</v>
      </c>
      <c r="AW387" s="221" cm="1">
        <f t="array" ref="AW387">AW385*INDEX(LoanCohortRate,$A384)</f>
        <v>0.32859975854861645</v>
      </c>
      <c r="AX387" s="221" cm="1">
        <f t="array" ref="AX387">AX385*INDEX(LoanCohortRate,$A384)</f>
        <v>0.30907385977089846</v>
      </c>
      <c r="AY387" s="221" cm="1">
        <f t="array" ref="AY387">AY385*INDEX(LoanCohortRate,$A384)</f>
        <v>0.28924693672035728</v>
      </c>
      <c r="AZ387" s="221" cm="1">
        <f t="array" ref="AZ387">AZ385*INDEX(LoanCohortRate,$A384)</f>
        <v>0.26911434860612032</v>
      </c>
      <c r="BA387" s="221" cm="1">
        <f t="array" ref="BA387">BA385*INDEX(LoanCohortRate,$A384)</f>
        <v>0.24867138309178882</v>
      </c>
      <c r="BB387" s="221" cm="1">
        <f t="array" ref="BB387">BB385*INDEX(LoanCohortRate,$A384)</f>
        <v>0.22791325519244471</v>
      </c>
      <c r="BC387" s="221" cm="1">
        <f t="array" ref="BC387">BC385*INDEX(LoanCohortRate,$A384)</f>
        <v>0.20683510615465239</v>
      </c>
      <c r="BD387" s="221" cm="1">
        <f t="array" ref="BD387">BD385*INDEX(LoanCohortRate,$A384)</f>
        <v>0.1854320023191941</v>
      </c>
      <c r="BE387" s="221" cm="1">
        <f t="array" ref="BE387">BE385*INDEX(LoanCohortRate,$A384)</f>
        <v>0.1636989339662725</v>
      </c>
      <c r="BF387" s="221" cm="1">
        <f t="array" ref="BF387">BF385*INDEX(LoanCohortRate,$A384)</f>
        <v>0.14163081414291001</v>
      </c>
      <c r="BG387" s="221" cm="1">
        <f t="array" ref="BG387">BG385*INDEX(LoanCohortRate,$A384)</f>
        <v>0.11922247747227069</v>
      </c>
      <c r="BH387" s="221" cm="1">
        <f t="array" ref="BH387">BH385*INDEX(LoanCohortRate,$A384)</f>
        <v>9.6468678944625685E-2</v>
      </c>
      <c r="BI387" s="221" cm="1">
        <f t="array" ref="BI387">BI385*INDEX(LoanCohortRate,$A384)</f>
        <v>7.3364092689679486E-2</v>
      </c>
      <c r="BJ387" s="221" cm="1">
        <f t="array" ref="BJ387">BJ385*INDEX(LoanCohortRate,$A384)</f>
        <v>4.9903310729969536E-2</v>
      </c>
      <c r="BK387" s="221" cm="1">
        <f t="array" ref="BK387">BK385*INDEX(LoanCohortRate,$A384)</f>
        <v>2.6080841715047383E-2</v>
      </c>
    </row>
    <row r="388" spans="1:63" ht="7.8" x14ac:dyDescent="0.15">
      <c r="A388" s="218" t="s">
        <v>177</v>
      </c>
      <c r="B388" s="192"/>
      <c r="C388" s="192"/>
      <c r="D388" s="192"/>
      <c r="E388" s="192"/>
      <c r="F388" s="192"/>
      <c r="G388" s="192"/>
      <c r="H388" s="192"/>
      <c r="I388" s="192"/>
      <c r="J388" s="192"/>
      <c r="K388" s="192"/>
      <c r="L388" s="192"/>
      <c r="M388" s="192"/>
      <c r="N388" s="192"/>
      <c r="O388" s="192"/>
      <c r="P388" s="192"/>
      <c r="Q388" s="192"/>
      <c r="R388" s="192"/>
      <c r="S388" s="192"/>
      <c r="T388" s="192"/>
      <c r="U388" s="192"/>
      <c r="V388" s="192"/>
      <c r="W388" s="192"/>
      <c r="X388" s="192"/>
      <c r="Y388" s="192"/>
      <c r="Z388" s="192"/>
      <c r="AA388" s="192"/>
      <c r="AB388" s="192"/>
      <c r="AC388" s="192"/>
      <c r="AD388" s="192"/>
      <c r="AE388" s="192"/>
      <c r="AF388" s="192"/>
      <c r="AG388" s="192"/>
      <c r="AH388" s="192"/>
      <c r="AI388" s="192"/>
      <c r="AJ388" s="192"/>
      <c r="AK388" s="192"/>
      <c r="AL388" s="192"/>
      <c r="AM388" s="192"/>
      <c r="AN388" s="192"/>
      <c r="AO388" s="192"/>
      <c r="AP388" s="192"/>
      <c r="AQ388" s="192"/>
      <c r="AR388" s="192"/>
      <c r="AS388" s="192"/>
      <c r="AT388" s="219">
        <f>AT386-AT387</f>
        <v>1.2097278774636584</v>
      </c>
      <c r="AU388" s="222">
        <f t="shared" ref="AU388:BK388" si="5116">AU386-AU387</f>
        <v>1.2283778489078898</v>
      </c>
      <c r="AV388" s="222">
        <f t="shared" si="5116"/>
        <v>1.24731534074522</v>
      </c>
      <c r="AW388" s="222">
        <f t="shared" si="5116"/>
        <v>1.2665447855817087</v>
      </c>
      <c r="AX388" s="222">
        <f t="shared" si="5116"/>
        <v>1.2860706843594267</v>
      </c>
      <c r="AY388" s="222">
        <f t="shared" si="5116"/>
        <v>1.305897607409968</v>
      </c>
      <c r="AZ388" s="222">
        <f t="shared" si="5116"/>
        <v>1.3260301955242049</v>
      </c>
      <c r="BA388" s="222">
        <f t="shared" si="5116"/>
        <v>1.3464731610385363</v>
      </c>
      <c r="BB388" s="222">
        <f t="shared" si="5116"/>
        <v>1.3672312889378804</v>
      </c>
      <c r="BC388" s="222">
        <f t="shared" si="5116"/>
        <v>1.3883094379756726</v>
      </c>
      <c r="BD388" s="222">
        <f t="shared" si="5116"/>
        <v>1.4097125418111309</v>
      </c>
      <c r="BE388" s="222">
        <f t="shared" si="5116"/>
        <v>1.4314456101640527</v>
      </c>
      <c r="BF388" s="222">
        <f t="shared" si="5116"/>
        <v>1.453513729987415</v>
      </c>
      <c r="BG388" s="222">
        <f t="shared" si="5116"/>
        <v>1.4759220666580544</v>
      </c>
      <c r="BH388" s="222">
        <f t="shared" si="5116"/>
        <v>1.4986758651856995</v>
      </c>
      <c r="BI388" s="222">
        <f t="shared" si="5116"/>
        <v>1.5217804514406457</v>
      </c>
      <c r="BJ388" s="222">
        <f t="shared" si="5116"/>
        <v>1.5452412334003556</v>
      </c>
      <c r="BK388" s="222">
        <f t="shared" si="5116"/>
        <v>1.5690637024152778</v>
      </c>
    </row>
    <row r="389" spans="1:63" ht="7.8" x14ac:dyDescent="0.15">
      <c r="A389" s="205" t="s">
        <v>7</v>
      </c>
      <c r="B389" s="192"/>
      <c r="C389" s="192"/>
      <c r="D389" s="192"/>
      <c r="E389" s="192"/>
      <c r="F389" s="192"/>
      <c r="G389" s="192"/>
      <c r="H389" s="192"/>
      <c r="I389" s="192"/>
      <c r="J389" s="192"/>
      <c r="K389" s="192"/>
      <c r="L389" s="192"/>
      <c r="M389" s="192"/>
      <c r="N389" s="192"/>
      <c r="O389" s="192"/>
      <c r="P389" s="192"/>
      <c r="Q389" s="192"/>
      <c r="R389" s="192"/>
      <c r="S389" s="192"/>
      <c r="T389" s="192"/>
      <c r="U389" s="192"/>
      <c r="V389" s="192"/>
      <c r="W389" s="192"/>
      <c r="X389" s="192"/>
      <c r="Y389" s="192"/>
      <c r="Z389" s="192"/>
      <c r="AA389" s="192"/>
      <c r="AB389" s="192"/>
      <c r="AC389" s="192"/>
      <c r="AD389" s="192"/>
      <c r="AE389" s="192"/>
      <c r="AF389" s="192"/>
      <c r="AG389" s="192"/>
      <c r="AH389" s="192"/>
      <c r="AI389" s="192"/>
      <c r="AJ389" s="192"/>
      <c r="AK389" s="192"/>
      <c r="AL389" s="192"/>
      <c r="AM389" s="192"/>
      <c r="AN389" s="192"/>
      <c r="AO389" s="192"/>
      <c r="AP389" s="192"/>
      <c r="AQ389" s="192"/>
      <c r="AR389" s="192"/>
      <c r="AS389" s="192"/>
      <c r="AT389" s="214" cm="1">
        <f t="array" ref="AT389">INDEX(LoanOriginations,$A384)</f>
        <v>123.30326987075733</v>
      </c>
      <c r="AU389" s="199">
        <f t="shared" ref="AU389:BK389" si="5117">AT389*(1-MitigateDelinquency*MitigateChargeoff)  *  IF(AU384=0,0,IF(AU384-102=LoanSaleHeld,0.6,1))</f>
        <v>123.17996660088657</v>
      </c>
      <c r="AV389" s="199">
        <f t="shared" si="5117"/>
        <v>123.05678663428569</v>
      </c>
      <c r="AW389" s="199">
        <f t="shared" si="5117"/>
        <v>122.93372984765141</v>
      </c>
      <c r="AX389" s="199">
        <f t="shared" si="5117"/>
        <v>73.686477670682251</v>
      </c>
      <c r="AY389" s="199">
        <f t="shared" si="5117"/>
        <v>73.612791193011574</v>
      </c>
      <c r="AZ389" s="199">
        <f t="shared" si="5117"/>
        <v>73.53917840181856</v>
      </c>
      <c r="BA389" s="199">
        <f t="shared" si="5117"/>
        <v>73.465639223416744</v>
      </c>
      <c r="BB389" s="199">
        <f t="shared" si="5117"/>
        <v>73.39217358419333</v>
      </c>
      <c r="BC389" s="199">
        <f t="shared" si="5117"/>
        <v>73.318781410609134</v>
      </c>
      <c r="BD389" s="199">
        <f t="shared" si="5117"/>
        <v>73.245462629198528</v>
      </c>
      <c r="BE389" s="199">
        <f t="shared" si="5117"/>
        <v>73.172217166569325</v>
      </c>
      <c r="BF389" s="199">
        <f t="shared" si="5117"/>
        <v>73.099044949402753</v>
      </c>
      <c r="BG389" s="199">
        <f t="shared" si="5117"/>
        <v>73.025945904453351</v>
      </c>
      <c r="BH389" s="199">
        <f t="shared" si="5117"/>
        <v>72.952919958548904</v>
      </c>
      <c r="BI389" s="199">
        <f t="shared" si="5117"/>
        <v>72.879967038590351</v>
      </c>
      <c r="BJ389" s="199">
        <f t="shared" si="5117"/>
        <v>72.807087071551763</v>
      </c>
      <c r="BK389" s="199">
        <f t="shared" si="5117"/>
        <v>72.73427998448021</v>
      </c>
    </row>
    <row r="390" spans="1:63" ht="7.8" x14ac:dyDescent="0.15">
      <c r="A390" s="207" t="s">
        <v>96</v>
      </c>
      <c r="B390" s="192"/>
      <c r="C390" s="192"/>
      <c r="D390" s="192"/>
      <c r="E390" s="192"/>
      <c r="F390" s="192"/>
      <c r="G390" s="192"/>
      <c r="H390" s="192"/>
      <c r="I390" s="192"/>
      <c r="J390" s="192"/>
      <c r="K390" s="192"/>
      <c r="L390" s="192"/>
      <c r="M390" s="192"/>
      <c r="N390" s="192"/>
      <c r="O390" s="192"/>
      <c r="P390" s="192"/>
      <c r="Q390" s="192"/>
      <c r="R390" s="192"/>
      <c r="S390" s="192"/>
      <c r="T390" s="192"/>
      <c r="U390" s="192"/>
      <c r="V390" s="192"/>
      <c r="W390" s="192"/>
      <c r="X390" s="192"/>
      <c r="Y390" s="192"/>
      <c r="Z390" s="192"/>
      <c r="AA390" s="192"/>
      <c r="AB390" s="192"/>
      <c r="AC390" s="192"/>
      <c r="AD390" s="192"/>
      <c r="AE390" s="192"/>
      <c r="AF390" s="192"/>
      <c r="AG390" s="192"/>
      <c r="AH390" s="192"/>
      <c r="AI390" s="192"/>
      <c r="AJ390" s="192"/>
      <c r="AK390" s="192"/>
      <c r="AL390" s="192"/>
      <c r="AM390" s="192"/>
      <c r="AN390" s="192"/>
      <c r="AO390" s="192"/>
      <c r="AP390" s="192"/>
      <c r="AQ390" s="192"/>
      <c r="AR390" s="192"/>
      <c r="AS390" s="192"/>
      <c r="AT390" s="223">
        <f>AT387*AT389</f>
        <v>47.523135262687724</v>
      </c>
      <c r="AU390" s="200">
        <f t="shared" ref="AU390" si="5118">AU387*AU389</f>
        <v>45.17830926781712</v>
      </c>
      <c r="AV390" s="200">
        <f t="shared" ref="AV390" si="5119">AV387*AV389</f>
        <v>42.802744066134458</v>
      </c>
      <c r="AW390" s="200">
        <f t="shared" ref="AW390" si="5120">AW387*AW389</f>
        <v>40.395993945419093</v>
      </c>
      <c r="AX390" s="200">
        <f t="shared" ref="AX390" si="5121">AX387*AX389</f>
        <v>22.774564066599886</v>
      </c>
      <c r="AY390" s="200">
        <f t="shared" ref="AY390" si="5122">AY387*AY389</f>
        <v>21.292274356013891</v>
      </c>
      <c r="AZ390" s="200">
        <f t="shared" ref="AZ390" si="5123">AZ387*AZ389</f>
        <v>19.790448092634673</v>
      </c>
      <c r="BA390" s="200">
        <f t="shared" ref="BA390" si="5124">BA387*BA389</f>
        <v>18.268802115409411</v>
      </c>
      <c r="BB390" s="200">
        <f t="shared" ref="BB390" si="5125">BB387*BB389</f>
        <v>16.727049187222455</v>
      </c>
      <c r="BC390" s="200">
        <f t="shared" ref="BC390" si="5126">BC387*BC389</f>
        <v>15.164897936193094</v>
      </c>
      <c r="BD390" s="200">
        <f t="shared" ref="BD390" si="5127">BD387*BD389</f>
        <v>13.582052796127986</v>
      </c>
      <c r="BE390" s="200">
        <f t="shared" ref="BE390" si="5128">BE387*BE389</f>
        <v>11.978213946115982</v>
      </c>
      <c r="BF390" s="200">
        <f t="shared" ref="BF390" si="5129">BF387*BF389</f>
        <v>10.353077249253086</v>
      </c>
      <c r="BG390" s="200">
        <f t="shared" ref="BG390" si="5130">BG387*BG389</f>
        <v>8.7063341904849469</v>
      </c>
      <c r="BH390" s="200">
        <f t="shared" ref="BH390" si="5131">BH387*BH389</f>
        <v>7.0376718135542298</v>
      </c>
      <c r="BI390" s="200">
        <f t="shared" ref="BI390" si="5132">BI387*BI389</f>
        <v>5.3467726570399279</v>
      </c>
      <c r="BJ390" s="200">
        <f t="shared" ref="BJ390" si="5133">BJ387*BJ389</f>
        <v>3.6333146894755952</v>
      </c>
      <c r="BK390" s="200">
        <f t="shared" ref="BK390" si="5134">BK387*BK389</f>
        <v>1.8969712435331674</v>
      </c>
    </row>
    <row r="391" spans="1:63" ht="7.8" x14ac:dyDescent="0.15">
      <c r="A391" s="206" t="s">
        <v>97</v>
      </c>
      <c r="B391" s="192"/>
      <c r="C391" s="192"/>
      <c r="D391" s="192"/>
      <c r="E391" s="192"/>
      <c r="F391" s="192"/>
      <c r="G391" s="192"/>
      <c r="H391" s="192"/>
      <c r="I391" s="192"/>
      <c r="J391" s="192"/>
      <c r="K391" s="192"/>
      <c r="L391" s="192"/>
      <c r="M391" s="192"/>
      <c r="N391" s="192"/>
      <c r="O391" s="192"/>
      <c r="P391" s="192"/>
      <c r="Q391" s="192"/>
      <c r="R391" s="192"/>
      <c r="S391" s="192"/>
      <c r="T391" s="192"/>
      <c r="U391" s="192"/>
      <c r="V391" s="192"/>
      <c r="W391" s="192"/>
      <c r="X391" s="192"/>
      <c r="Y391" s="192"/>
      <c r="Z391" s="192"/>
      <c r="AA391" s="192"/>
      <c r="AB391" s="192"/>
      <c r="AC391" s="192"/>
      <c r="AD391" s="192"/>
      <c r="AE391" s="192"/>
      <c r="AF391" s="192"/>
      <c r="AG391" s="192"/>
      <c r="AH391" s="192"/>
      <c r="AI391" s="192"/>
      <c r="AJ391" s="192"/>
      <c r="AK391" s="192"/>
      <c r="AL391" s="192"/>
      <c r="AM391" s="192"/>
      <c r="AN391" s="192"/>
      <c r="AO391" s="192"/>
      <c r="AP391" s="192"/>
      <c r="AQ391" s="192"/>
      <c r="AR391" s="192"/>
      <c r="AS391" s="192"/>
      <c r="AT391" s="223">
        <f>AT388*AT389</f>
        <v>149.16340294507992</v>
      </c>
      <c r="AU391" s="200">
        <f>AU388*AU389</f>
        <v>151.31154240174277</v>
      </c>
      <c r="AV391" s="200">
        <f t="shared" ref="AV391:BK391" si="5135">AV388*AV389</f>
        <v>153.49061775175588</v>
      </c>
      <c r="AW391" s="200">
        <f t="shared" si="5135"/>
        <v>155.70107451065334</v>
      </c>
      <c r="AX391" s="200">
        <f t="shared" si="5135"/>
        <v>94.766018765969946</v>
      </c>
      <c r="AY391" s="200">
        <f t="shared" si="5135"/>
        <v>96.130767893723373</v>
      </c>
      <c r="AZ391" s="200">
        <f t="shared" si="5135"/>
        <v>97.515171114852848</v>
      </c>
      <c r="BA391" s="200">
        <f t="shared" si="5135"/>
        <v>98.919511472870624</v>
      </c>
      <c r="BB391" s="200">
        <f t="shared" si="5135"/>
        <v>100.3440760874693</v>
      </c>
      <c r="BC391" s="200">
        <f t="shared" si="5135"/>
        <v>101.78915621322396</v>
      </c>
      <c r="BD391" s="200">
        <f t="shared" si="5135"/>
        <v>103.25504729913966</v>
      </c>
      <c r="BE391" s="200">
        <f t="shared" si="5135"/>
        <v>104.7420490490564</v>
      </c>
      <c r="BF391" s="200">
        <f t="shared" si="5135"/>
        <v>106.25046548292411</v>
      </c>
      <c r="BG391" s="200">
        <f t="shared" si="5135"/>
        <v>107.78060499896007</v>
      </c>
      <c r="BH391" s="200">
        <f t="shared" si="5135"/>
        <v>109.33278043670137</v>
      </c>
      <c r="BI391" s="200">
        <f t="shared" si="5135"/>
        <v>110.9073091409654</v>
      </c>
      <c r="BJ391" s="200">
        <f t="shared" si="5135"/>
        <v>112.50451302673173</v>
      </c>
      <c r="BK391" s="200">
        <f t="shared" si="5135"/>
        <v>114.12471864495795</v>
      </c>
    </row>
    <row r="392" spans="1:63" ht="7.8" x14ac:dyDescent="0.15">
      <c r="A392" s="208" t="s">
        <v>203</v>
      </c>
      <c r="B392" s="192"/>
      <c r="C392" s="192"/>
      <c r="D392" s="192"/>
      <c r="E392" s="192"/>
      <c r="F392" s="192"/>
      <c r="G392" s="192"/>
      <c r="H392" s="192"/>
      <c r="I392" s="192"/>
      <c r="J392" s="192"/>
      <c r="K392" s="192"/>
      <c r="L392" s="192"/>
      <c r="M392" s="192"/>
      <c r="N392" s="192"/>
      <c r="O392" s="192"/>
      <c r="P392" s="192"/>
      <c r="Q392" s="192"/>
      <c r="R392" s="192"/>
      <c r="S392" s="192"/>
      <c r="T392" s="192"/>
      <c r="U392" s="192"/>
      <c r="V392" s="192"/>
      <c r="W392" s="192"/>
      <c r="X392" s="192"/>
      <c r="Y392" s="192"/>
      <c r="Z392" s="192"/>
      <c r="AA392" s="192"/>
      <c r="AB392" s="192"/>
      <c r="AC392" s="192"/>
      <c r="AD392" s="192"/>
      <c r="AE392" s="192"/>
      <c r="AF392" s="192"/>
      <c r="AG392" s="192"/>
      <c r="AH392" s="192"/>
      <c r="AI392" s="192"/>
      <c r="AJ392" s="192"/>
      <c r="AK392" s="192"/>
      <c r="AL392" s="192"/>
      <c r="AM392" s="192"/>
      <c r="AN392" s="192"/>
      <c r="AO392" s="192"/>
      <c r="AP392" s="192"/>
      <c r="AQ392" s="192"/>
      <c r="AR392" s="192"/>
      <c r="AS392" s="192"/>
      <c r="AT392" s="224">
        <f>IF(AT384-101&lt;&gt;LoanSaleHeld,0,SUM($D391:AT391)*LoanSalePercent)</f>
        <v>0</v>
      </c>
      <c r="AU392" s="225">
        <f>IF(AU384-101&lt;&gt;LoanSaleHeld,0,SUM($D391:AU391)*LoanSalePercent)</f>
        <v>0</v>
      </c>
      <c r="AV392" s="225">
        <f>IF(AV384-101&lt;&gt;LoanSaleHeld,0,SUM($D391:AV391)*LoanSalePercent)</f>
        <v>0</v>
      </c>
      <c r="AW392" s="225">
        <f>IF(AW384-101&lt;&gt;LoanSaleHeld,0,SUM($D391:AW391)*LoanSalePercent)</f>
        <v>243.86665504369276</v>
      </c>
      <c r="AX392" s="225">
        <f>IF(AX384-101&lt;&gt;LoanSaleHeld,0,SUM($D391:AX391)*LoanSalePercent)</f>
        <v>0</v>
      </c>
      <c r="AY392" s="225">
        <f>IF(AY384-101&lt;&gt;LoanSaleHeld,0,SUM($D391:AY391)*LoanSalePercent)</f>
        <v>0</v>
      </c>
      <c r="AZ392" s="225">
        <f>IF(AZ384-101&lt;&gt;LoanSaleHeld,0,SUM($D391:AZ391)*LoanSalePercent)</f>
        <v>0</v>
      </c>
      <c r="BA392" s="225">
        <f>IF(BA384-101&lt;&gt;LoanSaleHeld,0,SUM($D391:BA391)*LoanSalePercent)</f>
        <v>0</v>
      </c>
      <c r="BB392" s="225">
        <f>IF(BB384-101&lt;&gt;LoanSaleHeld,0,SUM($D391:BB391)*LoanSalePercent)</f>
        <v>0</v>
      </c>
      <c r="BC392" s="225">
        <f>IF(BC384-101&lt;&gt;LoanSaleHeld,0,SUM($D391:BC391)*LoanSalePercent)</f>
        <v>0</v>
      </c>
      <c r="BD392" s="225">
        <f>IF(BD384-101&lt;&gt;LoanSaleHeld,0,SUM($D391:BD391)*LoanSalePercent)</f>
        <v>0</v>
      </c>
      <c r="BE392" s="225">
        <f>IF(BE384-101&lt;&gt;LoanSaleHeld,0,SUM($D391:BE391)*LoanSalePercent)</f>
        <v>0</v>
      </c>
      <c r="BF392" s="225">
        <f>IF(BF384-101&lt;&gt;LoanSaleHeld,0,SUM($D391:BF391)*LoanSalePercent)</f>
        <v>0</v>
      </c>
      <c r="BG392" s="225">
        <f>IF(BG384-101&lt;&gt;LoanSaleHeld,0,SUM($D391:BG391)*LoanSalePercent)</f>
        <v>0</v>
      </c>
      <c r="BH392" s="225">
        <f>IF(BH384-101&lt;&gt;LoanSaleHeld,0,SUM($D391:BH391)*LoanSalePercent)</f>
        <v>0</v>
      </c>
      <c r="BI392" s="225">
        <f>IF(BI384-101&lt;&gt;LoanSaleHeld,0,SUM($D391:BI391)*LoanSalePercent)</f>
        <v>0</v>
      </c>
      <c r="BJ392" s="225">
        <f>IF(BJ384-101&lt;&gt;LoanSaleHeld,0,SUM($D391:BJ391)*LoanSalePercent)</f>
        <v>0</v>
      </c>
      <c r="BK392" s="225">
        <f>IF(BK384-101&lt;&gt;LoanSaleHeld,0,SUM($D391:BK391)*LoanSalePercent)</f>
        <v>0</v>
      </c>
    </row>
    <row r="393" spans="1:63" ht="7.8" x14ac:dyDescent="0.15">
      <c r="A393" s="204">
        <f t="shared" ref="A393" si="5136">A384+1</f>
        <v>44</v>
      </c>
      <c r="B393" s="192"/>
      <c r="C393" s="192"/>
      <c r="D393" s="192"/>
      <c r="E393" s="192"/>
      <c r="F393" s="192"/>
      <c r="G393" s="192"/>
      <c r="H393" s="192"/>
      <c r="I393" s="192"/>
      <c r="J393" s="192"/>
      <c r="K393" s="192"/>
      <c r="L393" s="192"/>
      <c r="M393" s="192"/>
      <c r="N393" s="192"/>
      <c r="O393" s="192"/>
      <c r="P393" s="192"/>
      <c r="Q393" s="192"/>
      <c r="R393" s="192"/>
      <c r="S393" s="192"/>
      <c r="T393" s="192"/>
      <c r="U393" s="192"/>
      <c r="V393" s="192"/>
      <c r="W393" s="192"/>
      <c r="X393" s="192"/>
      <c r="Y393" s="192"/>
      <c r="Z393" s="192"/>
      <c r="AA393" s="192"/>
      <c r="AB393" s="192"/>
      <c r="AC393" s="192"/>
      <c r="AD393" s="192"/>
      <c r="AE393" s="192"/>
      <c r="AF393" s="192"/>
      <c r="AG393" s="192"/>
      <c r="AH393" s="192"/>
      <c r="AI393" s="192"/>
      <c r="AJ393" s="192"/>
      <c r="AK393" s="192"/>
      <c r="AL393" s="192"/>
      <c r="AM393" s="192"/>
      <c r="AN393" s="192"/>
      <c r="AO393" s="192"/>
      <c r="AP393" s="192"/>
      <c r="AQ393" s="192"/>
      <c r="AR393" s="192"/>
      <c r="AS393" s="192"/>
      <c r="AT393" s="192"/>
      <c r="AU393" s="195">
        <v>101</v>
      </c>
      <c r="AV393" s="196">
        <f t="shared" ref="AV393" si="5137">IF(AV394=0,0,AU393+1)</f>
        <v>102</v>
      </c>
      <c r="AW393" s="196">
        <f t="shared" ref="AW393" si="5138">IF(AW394=0,0,AV393+1)</f>
        <v>103</v>
      </c>
      <c r="AX393" s="196">
        <f t="shared" ref="AX393" si="5139">IF(AX394=0,0,AW393+1)</f>
        <v>104</v>
      </c>
      <c r="AY393" s="196">
        <f t="shared" ref="AY393" si="5140">IF(AY394=0,0,AX393+1)</f>
        <v>105</v>
      </c>
      <c r="AZ393" s="196">
        <f t="shared" ref="AZ393" si="5141">IF(AZ394=0,0,AY393+1)</f>
        <v>106</v>
      </c>
      <c r="BA393" s="196">
        <f t="shared" ref="BA393" si="5142">IF(BA394=0,0,AZ393+1)</f>
        <v>107</v>
      </c>
      <c r="BB393" s="196">
        <f t="shared" ref="BB393" si="5143">IF(BB394=0,0,BA393+1)</f>
        <v>108</v>
      </c>
      <c r="BC393" s="196">
        <f t="shared" ref="BC393" si="5144">IF(BC394=0,0,BB393+1)</f>
        <v>109</v>
      </c>
      <c r="BD393" s="196">
        <f t="shared" ref="BD393" si="5145">IF(BD394=0,0,BC393+1)</f>
        <v>110</v>
      </c>
      <c r="BE393" s="196">
        <f t="shared" ref="BE393" si="5146">IF(BE394=0,0,BD393+1)</f>
        <v>111</v>
      </c>
      <c r="BF393" s="196">
        <f t="shared" ref="BF393" si="5147">IF(BF394=0,0,BE393+1)</f>
        <v>112</v>
      </c>
      <c r="BG393" s="196">
        <f t="shared" ref="BG393" si="5148">IF(BG394=0,0,BF393+1)</f>
        <v>113</v>
      </c>
      <c r="BH393" s="196">
        <f t="shared" ref="BH393" si="5149">IF(BH394=0,0,BG393+1)</f>
        <v>114</v>
      </c>
      <c r="BI393" s="196">
        <f t="shared" ref="BI393" si="5150">IF(BI394=0,0,BH393+1)</f>
        <v>115</v>
      </c>
      <c r="BJ393" s="196">
        <f t="shared" ref="BJ393" si="5151">IF(BJ394=0,0,BI393+1)</f>
        <v>116</v>
      </c>
      <c r="BK393" s="196">
        <f t="shared" ref="BK393" si="5152">IF(BK394=0,0,BJ393+1)</f>
        <v>117</v>
      </c>
    </row>
    <row r="394" spans="1:63" ht="7.8" x14ac:dyDescent="0.15">
      <c r="A394" s="216" t="s">
        <v>178</v>
      </c>
      <c r="B394" s="192"/>
      <c r="C394" s="192"/>
      <c r="D394" s="192"/>
      <c r="E394" s="192"/>
      <c r="F394" s="192"/>
      <c r="G394" s="192"/>
      <c r="H394" s="192"/>
      <c r="I394" s="192"/>
      <c r="J394" s="192"/>
      <c r="K394" s="192"/>
      <c r="L394" s="192"/>
      <c r="M394" s="192"/>
      <c r="N394" s="192"/>
      <c r="O394" s="192"/>
      <c r="P394" s="192"/>
      <c r="Q394" s="192"/>
      <c r="R394" s="192"/>
      <c r="S394" s="192"/>
      <c r="T394" s="192"/>
      <c r="U394" s="192"/>
      <c r="V394" s="192"/>
      <c r="W394" s="192"/>
      <c r="X394" s="192"/>
      <c r="Y394" s="192"/>
      <c r="Z394" s="192"/>
      <c r="AA394" s="192"/>
      <c r="AB394" s="192"/>
      <c r="AC394" s="192"/>
      <c r="AD394" s="192"/>
      <c r="AE394" s="192"/>
      <c r="AF394" s="192"/>
      <c r="AG394" s="192"/>
      <c r="AH394" s="192"/>
      <c r="AI394" s="192"/>
      <c r="AJ394" s="192"/>
      <c r="AK394" s="192"/>
      <c r="AL394" s="192"/>
      <c r="AM394" s="192"/>
      <c r="AN394" s="192"/>
      <c r="AO394" s="192"/>
      <c r="AP394" s="192"/>
      <c r="AQ394" s="192"/>
      <c r="AR394" s="192"/>
      <c r="AS394" s="192"/>
      <c r="AT394" s="192"/>
      <c r="AU394" s="217">
        <f>LoanSize</f>
        <v>25</v>
      </c>
      <c r="AV394" s="215">
        <f>IF(AU394-AU397&lt;=0.1,0,AU394-AU397)</f>
        <v>23.79027212253634</v>
      </c>
      <c r="AW394" s="215">
        <f t="shared" ref="AW394:BK394" si="5153">IF(AV394-AV397&lt;=0.1,0,AV394-AV397)</f>
        <v>22.56189427362845</v>
      </c>
      <c r="AX394" s="215">
        <f t="shared" si="5153"/>
        <v>21.314578932883229</v>
      </c>
      <c r="AY394" s="215">
        <f t="shared" si="5153"/>
        <v>20.048034147301522</v>
      </c>
      <c r="AZ394" s="215">
        <f t="shared" si="5153"/>
        <v>18.761963462942095</v>
      </c>
      <c r="BA394" s="215">
        <f t="shared" si="5153"/>
        <v>17.456065855532128</v>
      </c>
      <c r="BB394" s="215">
        <f t="shared" si="5153"/>
        <v>16.130035660007923</v>
      </c>
      <c r="BC394" s="215">
        <f t="shared" si="5153"/>
        <v>14.783562498969387</v>
      </c>
      <c r="BD394" s="215">
        <f t="shared" si="5153"/>
        <v>13.416331210031506</v>
      </c>
      <c r="BE394" s="215">
        <f t="shared" si="5153"/>
        <v>12.028021772055833</v>
      </c>
      <c r="BF394" s="215">
        <f t="shared" si="5153"/>
        <v>10.618309230244702</v>
      </c>
      <c r="BG394" s="215">
        <f t="shared" si="5153"/>
        <v>9.1868636200806488</v>
      </c>
      <c r="BH394" s="215">
        <f t="shared" si="5153"/>
        <v>7.7333498900932334</v>
      </c>
      <c r="BI394" s="215">
        <f t="shared" si="5153"/>
        <v>6.2574278234351794</v>
      </c>
      <c r="BJ394" s="215">
        <f t="shared" si="5153"/>
        <v>4.7587519582494799</v>
      </c>
      <c r="BK394" s="215">
        <f t="shared" si="5153"/>
        <v>3.2369715068088345</v>
      </c>
    </row>
    <row r="395" spans="1:63" ht="7.8" x14ac:dyDescent="0.15">
      <c r="A395" s="218" t="s">
        <v>179</v>
      </c>
      <c r="B395" s="192"/>
      <c r="C395" s="192"/>
      <c r="D395" s="192"/>
      <c r="E395" s="192"/>
      <c r="F395" s="192"/>
      <c r="G395" s="192"/>
      <c r="H395" s="192"/>
      <c r="I395" s="192"/>
      <c r="J395" s="192"/>
      <c r="K395" s="192"/>
      <c r="L395" s="192"/>
      <c r="M395" s="192"/>
      <c r="N395" s="192"/>
      <c r="O395" s="192"/>
      <c r="P395" s="192"/>
      <c r="Q395" s="192"/>
      <c r="R395" s="192"/>
      <c r="S395" s="192"/>
      <c r="T395" s="192"/>
      <c r="U395" s="192"/>
      <c r="V395" s="192"/>
      <c r="W395" s="192"/>
      <c r="X395" s="192"/>
      <c r="Y395" s="192"/>
      <c r="Z395" s="192"/>
      <c r="AA395" s="192"/>
      <c r="AB395" s="192"/>
      <c r="AC395" s="192"/>
      <c r="AD395" s="192"/>
      <c r="AE395" s="192"/>
      <c r="AF395" s="192"/>
      <c r="AG395" s="192"/>
      <c r="AH395" s="192"/>
      <c r="AI395" s="192"/>
      <c r="AJ395" s="192"/>
      <c r="AK395" s="192"/>
      <c r="AL395" s="192"/>
      <c r="AM395" s="192"/>
      <c r="AN395" s="192"/>
      <c r="AO395" s="192"/>
      <c r="AP395" s="192"/>
      <c r="AQ395" s="192"/>
      <c r="AR395" s="192"/>
      <c r="AS395" s="192"/>
      <c r="AT395" s="192"/>
      <c r="AU395" s="219">
        <f>IF(AU394=0,0,PMT(INDEX(LoanCohortRate,1),LoanTerm, -LoanSize))</f>
        <v>1.5951445441303251</v>
      </c>
      <c r="AV395" s="222">
        <f t="shared" ref="AV395" si="5154">IF(AV394=0,0, AU395)</f>
        <v>1.5951445441303251</v>
      </c>
      <c r="AW395" s="222">
        <f t="shared" ref="AW395" si="5155">IF(AW394=0,0, AV395)</f>
        <v>1.5951445441303251</v>
      </c>
      <c r="AX395" s="222">
        <f t="shared" ref="AX395" si="5156">IF(AX394=0,0, AW395)</f>
        <v>1.5951445441303251</v>
      </c>
      <c r="AY395" s="222">
        <f t="shared" ref="AY395" si="5157">IF(AY394=0,0, AX395)</f>
        <v>1.5951445441303251</v>
      </c>
      <c r="AZ395" s="222">
        <f t="shared" ref="AZ395" si="5158">IF(AZ394=0,0, AY395)</f>
        <v>1.5951445441303251</v>
      </c>
      <c r="BA395" s="222">
        <f t="shared" ref="BA395" si="5159">IF(BA394=0,0, AZ395)</f>
        <v>1.5951445441303251</v>
      </c>
      <c r="BB395" s="222">
        <f t="shared" ref="BB395" si="5160">IF(BB394=0,0, BA395)</f>
        <v>1.5951445441303251</v>
      </c>
      <c r="BC395" s="222">
        <f t="shared" ref="BC395" si="5161">IF(BC394=0,0, BB395)</f>
        <v>1.5951445441303251</v>
      </c>
      <c r="BD395" s="222">
        <f t="shared" ref="BD395" si="5162">IF(BD394=0,0, BC395)</f>
        <v>1.5951445441303251</v>
      </c>
      <c r="BE395" s="222">
        <f t="shared" ref="BE395" si="5163">IF(BE394=0,0, BD395)</f>
        <v>1.5951445441303251</v>
      </c>
      <c r="BF395" s="222">
        <f t="shared" ref="BF395" si="5164">IF(BF394=0,0, BE395)</f>
        <v>1.5951445441303251</v>
      </c>
      <c r="BG395" s="222">
        <f t="shared" ref="BG395" si="5165">IF(BG394=0,0, BF395)</f>
        <v>1.5951445441303251</v>
      </c>
      <c r="BH395" s="222">
        <f t="shared" ref="BH395" si="5166">IF(BH394=0,0, BG395)</f>
        <v>1.5951445441303251</v>
      </c>
      <c r="BI395" s="222">
        <f t="shared" ref="BI395" si="5167">IF(BI394=0,0, BH395)</f>
        <v>1.5951445441303251</v>
      </c>
      <c r="BJ395" s="222">
        <f t="shared" ref="BJ395" si="5168">IF(BJ394=0,0, BI395)</f>
        <v>1.5951445441303251</v>
      </c>
      <c r="BK395" s="222">
        <f t="shared" ref="BK395" si="5169">IF(BK394=0,0, BJ395)</f>
        <v>1.5951445441303251</v>
      </c>
    </row>
    <row r="396" spans="1:63" ht="7.8" x14ac:dyDescent="0.15">
      <c r="A396" s="218" t="s">
        <v>180</v>
      </c>
      <c r="B396" s="192"/>
      <c r="C396" s="192"/>
      <c r="D396" s="192"/>
      <c r="E396" s="192"/>
      <c r="F396" s="192"/>
      <c r="G396" s="192"/>
      <c r="H396" s="192"/>
      <c r="I396" s="192"/>
      <c r="J396" s="192"/>
      <c r="K396" s="192"/>
      <c r="L396" s="192"/>
      <c r="M396" s="192"/>
      <c r="N396" s="192"/>
      <c r="O396" s="192"/>
      <c r="P396" s="192"/>
      <c r="Q396" s="192"/>
      <c r="R396" s="192"/>
      <c r="S396" s="192"/>
      <c r="T396" s="192"/>
      <c r="U396" s="192"/>
      <c r="V396" s="192"/>
      <c r="W396" s="192"/>
      <c r="X396" s="192"/>
      <c r="Y396" s="192"/>
      <c r="Z396" s="192"/>
      <c r="AA396" s="192"/>
      <c r="AB396" s="192"/>
      <c r="AC396" s="192"/>
      <c r="AD396" s="192"/>
      <c r="AE396" s="192"/>
      <c r="AF396" s="192"/>
      <c r="AG396" s="192"/>
      <c r="AH396" s="192"/>
      <c r="AI396" s="192"/>
      <c r="AJ396" s="192"/>
      <c r="AK396" s="192"/>
      <c r="AL396" s="192"/>
      <c r="AM396" s="192"/>
      <c r="AN396" s="192"/>
      <c r="AO396" s="192"/>
      <c r="AP396" s="192"/>
      <c r="AQ396" s="192"/>
      <c r="AR396" s="192"/>
      <c r="AS396" s="192"/>
      <c r="AT396" s="192"/>
      <c r="AU396" s="220" cm="1">
        <f t="array" ref="AU396">AU394*INDEX(LoanCohortRate,$A393)</f>
        <v>0.38541666666666669</v>
      </c>
      <c r="AV396" s="221" cm="1">
        <f t="array" ref="AV396">AV394*INDEX(LoanCohortRate,$A393)</f>
        <v>0.36676669522243527</v>
      </c>
      <c r="AW396" s="221" cm="1">
        <f t="array" ref="AW396">AW394*INDEX(LoanCohortRate,$A393)</f>
        <v>0.34782920338510526</v>
      </c>
      <c r="AX396" s="221" cm="1">
        <f t="array" ref="AX396">AX394*INDEX(LoanCohortRate,$A393)</f>
        <v>0.32859975854861645</v>
      </c>
      <c r="AY396" s="221" cm="1">
        <f t="array" ref="AY396">AY394*INDEX(LoanCohortRate,$A393)</f>
        <v>0.30907385977089846</v>
      </c>
      <c r="AZ396" s="221" cm="1">
        <f t="array" ref="AZ396">AZ394*INDEX(LoanCohortRate,$A393)</f>
        <v>0.28924693672035728</v>
      </c>
      <c r="BA396" s="221" cm="1">
        <f t="array" ref="BA396">BA394*INDEX(LoanCohortRate,$A393)</f>
        <v>0.26911434860612032</v>
      </c>
      <c r="BB396" s="221" cm="1">
        <f t="array" ref="BB396">BB394*INDEX(LoanCohortRate,$A393)</f>
        <v>0.24867138309178882</v>
      </c>
      <c r="BC396" s="221" cm="1">
        <f t="array" ref="BC396">BC394*INDEX(LoanCohortRate,$A393)</f>
        <v>0.22791325519244471</v>
      </c>
      <c r="BD396" s="221" cm="1">
        <f t="array" ref="BD396">BD394*INDEX(LoanCohortRate,$A393)</f>
        <v>0.20683510615465239</v>
      </c>
      <c r="BE396" s="221" cm="1">
        <f t="array" ref="BE396">BE394*INDEX(LoanCohortRate,$A393)</f>
        <v>0.1854320023191941</v>
      </c>
      <c r="BF396" s="221" cm="1">
        <f t="array" ref="BF396">BF394*INDEX(LoanCohortRate,$A393)</f>
        <v>0.1636989339662725</v>
      </c>
      <c r="BG396" s="221" cm="1">
        <f t="array" ref="BG396">BG394*INDEX(LoanCohortRate,$A393)</f>
        <v>0.14163081414291001</v>
      </c>
      <c r="BH396" s="221" cm="1">
        <f t="array" ref="BH396">BH394*INDEX(LoanCohortRate,$A393)</f>
        <v>0.11922247747227069</v>
      </c>
      <c r="BI396" s="221" cm="1">
        <f t="array" ref="BI396">BI394*INDEX(LoanCohortRate,$A393)</f>
        <v>9.6468678944625685E-2</v>
      </c>
      <c r="BJ396" s="221" cm="1">
        <f t="array" ref="BJ396">BJ394*INDEX(LoanCohortRate,$A393)</f>
        <v>7.3364092689679486E-2</v>
      </c>
      <c r="BK396" s="221" cm="1">
        <f t="array" ref="BK396">BK394*INDEX(LoanCohortRate,$A393)</f>
        <v>4.9903310729969536E-2</v>
      </c>
    </row>
    <row r="397" spans="1:63" ht="7.8" x14ac:dyDescent="0.15">
      <c r="A397" s="218" t="s">
        <v>177</v>
      </c>
      <c r="B397" s="192"/>
      <c r="C397" s="192"/>
      <c r="D397" s="192"/>
      <c r="E397" s="192"/>
      <c r="F397" s="192"/>
      <c r="G397" s="192"/>
      <c r="H397" s="192"/>
      <c r="I397" s="192"/>
      <c r="J397" s="192"/>
      <c r="K397" s="192"/>
      <c r="L397" s="192"/>
      <c r="M397" s="192"/>
      <c r="N397" s="192"/>
      <c r="O397" s="192"/>
      <c r="P397" s="192"/>
      <c r="Q397" s="192"/>
      <c r="R397" s="192"/>
      <c r="S397" s="192"/>
      <c r="T397" s="192"/>
      <c r="U397" s="192"/>
      <c r="V397" s="192"/>
      <c r="W397" s="192"/>
      <c r="X397" s="192"/>
      <c r="Y397" s="192"/>
      <c r="Z397" s="192"/>
      <c r="AA397" s="192"/>
      <c r="AB397" s="192"/>
      <c r="AC397" s="192"/>
      <c r="AD397" s="192"/>
      <c r="AE397" s="192"/>
      <c r="AF397" s="192"/>
      <c r="AG397" s="192"/>
      <c r="AH397" s="192"/>
      <c r="AI397" s="192"/>
      <c r="AJ397" s="192"/>
      <c r="AK397" s="192"/>
      <c r="AL397" s="192"/>
      <c r="AM397" s="192"/>
      <c r="AN397" s="192"/>
      <c r="AO397" s="192"/>
      <c r="AP397" s="192"/>
      <c r="AQ397" s="192"/>
      <c r="AR397" s="192"/>
      <c r="AS397" s="192"/>
      <c r="AT397" s="192"/>
      <c r="AU397" s="219">
        <f>AU395-AU396</f>
        <v>1.2097278774636584</v>
      </c>
      <c r="AV397" s="222">
        <f t="shared" ref="AV397:BK397" si="5170">AV395-AV396</f>
        <v>1.2283778489078898</v>
      </c>
      <c r="AW397" s="222">
        <f t="shared" si="5170"/>
        <v>1.24731534074522</v>
      </c>
      <c r="AX397" s="222">
        <f t="shared" si="5170"/>
        <v>1.2665447855817087</v>
      </c>
      <c r="AY397" s="222">
        <f t="shared" si="5170"/>
        <v>1.2860706843594267</v>
      </c>
      <c r="AZ397" s="222">
        <f t="shared" si="5170"/>
        <v>1.305897607409968</v>
      </c>
      <c r="BA397" s="222">
        <f t="shared" si="5170"/>
        <v>1.3260301955242049</v>
      </c>
      <c r="BB397" s="222">
        <f t="shared" si="5170"/>
        <v>1.3464731610385363</v>
      </c>
      <c r="BC397" s="222">
        <f t="shared" si="5170"/>
        <v>1.3672312889378804</v>
      </c>
      <c r="BD397" s="222">
        <f t="shared" si="5170"/>
        <v>1.3883094379756726</v>
      </c>
      <c r="BE397" s="222">
        <f t="shared" si="5170"/>
        <v>1.4097125418111309</v>
      </c>
      <c r="BF397" s="222">
        <f t="shared" si="5170"/>
        <v>1.4314456101640527</v>
      </c>
      <c r="BG397" s="222">
        <f t="shared" si="5170"/>
        <v>1.453513729987415</v>
      </c>
      <c r="BH397" s="222">
        <f t="shared" si="5170"/>
        <v>1.4759220666580544</v>
      </c>
      <c r="BI397" s="222">
        <f t="shared" si="5170"/>
        <v>1.4986758651856995</v>
      </c>
      <c r="BJ397" s="222">
        <f t="shared" si="5170"/>
        <v>1.5217804514406457</v>
      </c>
      <c r="BK397" s="222">
        <f t="shared" si="5170"/>
        <v>1.5452412334003556</v>
      </c>
    </row>
    <row r="398" spans="1:63" ht="7.8" x14ac:dyDescent="0.15">
      <c r="A398" s="205" t="s">
        <v>7</v>
      </c>
      <c r="B398" s="192"/>
      <c r="C398" s="192"/>
      <c r="D398" s="192"/>
      <c r="E398" s="192"/>
      <c r="F398" s="192"/>
      <c r="G398" s="192"/>
      <c r="H398" s="192"/>
      <c r="I398" s="192"/>
      <c r="J398" s="192"/>
      <c r="K398" s="192"/>
      <c r="L398" s="192"/>
      <c r="M398" s="192"/>
      <c r="N398" s="192"/>
      <c r="O398" s="192"/>
      <c r="P398" s="192"/>
      <c r="Q398" s="192"/>
      <c r="R398" s="192"/>
      <c r="S398" s="192"/>
      <c r="T398" s="192"/>
      <c r="U398" s="192"/>
      <c r="V398" s="192"/>
      <c r="W398" s="192"/>
      <c r="X398" s="192"/>
      <c r="Y398" s="192"/>
      <c r="Z398" s="192"/>
      <c r="AA398" s="192"/>
      <c r="AB398" s="192"/>
      <c r="AC398" s="192"/>
      <c r="AD398" s="192"/>
      <c r="AE398" s="192"/>
      <c r="AF398" s="192"/>
      <c r="AG398" s="192"/>
      <c r="AH398" s="192"/>
      <c r="AI398" s="192"/>
      <c r="AJ398" s="192"/>
      <c r="AK398" s="192"/>
      <c r="AL398" s="192"/>
      <c r="AM398" s="192"/>
      <c r="AN398" s="192"/>
      <c r="AO398" s="192"/>
      <c r="AP398" s="192"/>
      <c r="AQ398" s="192"/>
      <c r="AR398" s="192"/>
      <c r="AS398" s="192"/>
      <c r="AT398" s="192"/>
      <c r="AU398" s="214" cm="1">
        <f t="array" ref="AU398">INDEX(LoanOriginations,$A393)</f>
        <v>123.91978622011111</v>
      </c>
      <c r="AV398" s="199">
        <f t="shared" ref="AV398:BK398" si="5171">AU398*(1-MitigateDelinquency*MitigateChargeoff)  *  IF(AV393=0,0,IF(AV393-102=LoanSaleHeld,0.6,1))</f>
        <v>123.79586643389099</v>
      </c>
      <c r="AW398" s="199">
        <f t="shared" si="5171"/>
        <v>123.6720705674571</v>
      </c>
      <c r="AX398" s="199">
        <f t="shared" si="5171"/>
        <v>123.54839849688965</v>
      </c>
      <c r="AY398" s="199">
        <f t="shared" si="5171"/>
        <v>74.054910059035649</v>
      </c>
      <c r="AZ398" s="199">
        <f t="shared" si="5171"/>
        <v>73.980855148976616</v>
      </c>
      <c r="BA398" s="199">
        <f t="shared" si="5171"/>
        <v>73.906874293827642</v>
      </c>
      <c r="BB398" s="199">
        <f t="shared" si="5171"/>
        <v>73.832967419533816</v>
      </c>
      <c r="BC398" s="199">
        <f t="shared" si="5171"/>
        <v>73.759134452114282</v>
      </c>
      <c r="BD398" s="199">
        <f t="shared" si="5171"/>
        <v>73.685375317662164</v>
      </c>
      <c r="BE398" s="199">
        <f t="shared" si="5171"/>
        <v>73.611689942344498</v>
      </c>
      <c r="BF398" s="199">
        <f t="shared" si="5171"/>
        <v>73.538078252402158</v>
      </c>
      <c r="BG398" s="199">
        <f t="shared" si="5171"/>
        <v>73.464540174149761</v>
      </c>
      <c r="BH398" s="199">
        <f t="shared" si="5171"/>
        <v>73.391075633975618</v>
      </c>
      <c r="BI398" s="199">
        <f t="shared" si="5171"/>
        <v>73.317684558341639</v>
      </c>
      <c r="BJ398" s="199">
        <f t="shared" si="5171"/>
        <v>73.244366873783292</v>
      </c>
      <c r="BK398" s="199">
        <f t="shared" si="5171"/>
        <v>73.171122506909512</v>
      </c>
    </row>
    <row r="399" spans="1:63" ht="7.8" x14ac:dyDescent="0.15">
      <c r="A399" s="207" t="s">
        <v>96</v>
      </c>
      <c r="B399" s="192"/>
      <c r="C399" s="192"/>
      <c r="D399" s="192"/>
      <c r="E399" s="192"/>
      <c r="F399" s="192"/>
      <c r="G399" s="192"/>
      <c r="H399" s="192"/>
      <c r="I399" s="192"/>
      <c r="J399" s="192"/>
      <c r="K399" s="192"/>
      <c r="L399" s="192"/>
      <c r="M399" s="192"/>
      <c r="N399" s="192"/>
      <c r="O399" s="192"/>
      <c r="P399" s="192"/>
      <c r="Q399" s="192"/>
      <c r="R399" s="192"/>
      <c r="S399" s="192"/>
      <c r="T399" s="192"/>
      <c r="U399" s="192"/>
      <c r="V399" s="192"/>
      <c r="W399" s="192"/>
      <c r="X399" s="192"/>
      <c r="Y399" s="192"/>
      <c r="Z399" s="192"/>
      <c r="AA399" s="192"/>
      <c r="AB399" s="192"/>
      <c r="AC399" s="192"/>
      <c r="AD399" s="192"/>
      <c r="AE399" s="192"/>
      <c r="AF399" s="192"/>
      <c r="AG399" s="192"/>
      <c r="AH399" s="192"/>
      <c r="AI399" s="192"/>
      <c r="AJ399" s="192"/>
      <c r="AK399" s="192"/>
      <c r="AL399" s="192"/>
      <c r="AM399" s="192"/>
      <c r="AN399" s="192"/>
      <c r="AO399" s="192"/>
      <c r="AP399" s="192"/>
      <c r="AQ399" s="192"/>
      <c r="AR399" s="192"/>
      <c r="AS399" s="192"/>
      <c r="AT399" s="192"/>
      <c r="AU399" s="223">
        <f>AU396*AU398</f>
        <v>47.760750939001156</v>
      </c>
      <c r="AV399" s="200">
        <f t="shared" ref="AV399" si="5172">AV396*AV398</f>
        <v>45.404200814156205</v>
      </c>
      <c r="AW399" s="200">
        <f t="shared" ref="AW399" si="5173">AW396*AW398</f>
        <v>43.016757786465128</v>
      </c>
      <c r="AX399" s="200">
        <f t="shared" ref="AX399" si="5174">AX396*AX398</f>
        <v>40.597973915146184</v>
      </c>
      <c r="AY399" s="200">
        <f t="shared" ref="AY399" si="5175">AY396*AY398</f>
        <v>22.888436886932883</v>
      </c>
      <c r="AZ399" s="200">
        <f t="shared" ref="AZ399" si="5176">AZ396*AZ398</f>
        <v>21.398735727793959</v>
      </c>
      <c r="BA399" s="200">
        <f t="shared" ref="BA399" si="5177">BA396*BA398</f>
        <v>19.889400333097846</v>
      </c>
      <c r="BB399" s="200">
        <f t="shared" ref="BB399" si="5178">BB396*BB398</f>
        <v>18.360146125986457</v>
      </c>
      <c r="BC399" s="200">
        <f t="shared" ref="BC399" si="5179">BC396*BC398</f>
        <v>16.810684433158563</v>
      </c>
      <c r="BD399" s="200">
        <f t="shared" ref="BD399" si="5180">BD396*BD398</f>
        <v>15.240722425874058</v>
      </c>
      <c r="BE399" s="200">
        <f t="shared" ref="BE399" si="5181">BE396*BE398</f>
        <v>13.649963060108622</v>
      </c>
      <c r="BF399" s="200">
        <f t="shared" ref="BF399" si="5182">BF396*BF398</f>
        <v>12.038105015846561</v>
      </c>
      <c r="BG399" s="200">
        <f t="shared" ref="BG399" si="5183">BG396*BG398</f>
        <v>10.404842635499351</v>
      </c>
      <c r="BH399" s="200">
        <f t="shared" ref="BH399" si="5184">BH396*BH398</f>
        <v>8.7498658614373728</v>
      </c>
      <c r="BI399" s="200">
        <f t="shared" ref="BI399" si="5185">BI396*BI398</f>
        <v>7.0728601726219997</v>
      </c>
      <c r="BJ399" s="200">
        <f t="shared" ref="BJ399" si="5186">BJ396*BJ398</f>
        <v>5.3735065203251269</v>
      </c>
      <c r="BK399" s="200">
        <f t="shared" ref="BK399" si="5187">BK396*BK398</f>
        <v>3.6514812629229727</v>
      </c>
    </row>
    <row r="400" spans="1:63" ht="7.8" x14ac:dyDescent="0.15">
      <c r="A400" s="206" t="s">
        <v>97</v>
      </c>
      <c r="B400" s="192"/>
      <c r="C400" s="192"/>
      <c r="D400" s="192"/>
      <c r="E400" s="192"/>
      <c r="F400" s="192"/>
      <c r="G400" s="192"/>
      <c r="H400" s="192"/>
      <c r="I400" s="192"/>
      <c r="J400" s="192"/>
      <c r="K400" s="192"/>
      <c r="L400" s="192"/>
      <c r="M400" s="192"/>
      <c r="N400" s="192"/>
      <c r="O400" s="192"/>
      <c r="P400" s="192"/>
      <c r="Q400" s="192"/>
      <c r="R400" s="192"/>
      <c r="S400" s="192"/>
      <c r="T400" s="192"/>
      <c r="U400" s="192"/>
      <c r="V400" s="192"/>
      <c r="W400" s="192"/>
      <c r="X400" s="192"/>
      <c r="Y400" s="192"/>
      <c r="Z400" s="192"/>
      <c r="AA400" s="192"/>
      <c r="AB400" s="192"/>
      <c r="AC400" s="192"/>
      <c r="AD400" s="192"/>
      <c r="AE400" s="192"/>
      <c r="AF400" s="192"/>
      <c r="AG400" s="192"/>
      <c r="AH400" s="192"/>
      <c r="AI400" s="192"/>
      <c r="AJ400" s="192"/>
      <c r="AK400" s="192"/>
      <c r="AL400" s="192"/>
      <c r="AM400" s="192"/>
      <c r="AN400" s="192"/>
      <c r="AO400" s="192"/>
      <c r="AP400" s="192"/>
      <c r="AQ400" s="192"/>
      <c r="AR400" s="192"/>
      <c r="AS400" s="192"/>
      <c r="AT400" s="192"/>
      <c r="AU400" s="223">
        <f>AU397*AU398</f>
        <v>149.90921995980531</v>
      </c>
      <c r="AV400" s="200">
        <f>AV397*AV398</f>
        <v>152.06810011375146</v>
      </c>
      <c r="AW400" s="200">
        <f t="shared" ref="AW400:BK400" si="5188">AW397*AW398</f>
        <v>154.25807084051465</v>
      </c>
      <c r="AX400" s="200">
        <f t="shared" si="5188"/>
        <v>156.47957988320661</v>
      </c>
      <c r="AY400" s="200">
        <f t="shared" si="5188"/>
        <v>95.239848859799778</v>
      </c>
      <c r="AZ400" s="200">
        <f t="shared" si="5188"/>
        <v>96.611421733191975</v>
      </c>
      <c r="BA400" s="200">
        <f t="shared" si="5188"/>
        <v>98.002746970427097</v>
      </c>
      <c r="BB400" s="200">
        <f t="shared" si="5188"/>
        <v>99.414109030234954</v>
      </c>
      <c r="BC400" s="200">
        <f t="shared" si="5188"/>
        <v>100.84579646790662</v>
      </c>
      <c r="BD400" s="200">
        <f t="shared" si="5188"/>
        <v>102.29810199429006</v>
      </c>
      <c r="BE400" s="200">
        <f t="shared" si="5188"/>
        <v>103.77132253563532</v>
      </c>
      <c r="BF400" s="200">
        <f t="shared" si="5188"/>
        <v>105.26575929430166</v>
      </c>
      <c r="BG400" s="200">
        <f t="shared" si="5188"/>
        <v>106.78171781033872</v>
      </c>
      <c r="BH400" s="200">
        <f t="shared" si="5188"/>
        <v>108.31950802395487</v>
      </c>
      <c r="BI400" s="200">
        <f t="shared" si="5188"/>
        <v>109.87944433888485</v>
      </c>
      <c r="BJ400" s="200">
        <f t="shared" si="5188"/>
        <v>111.46184568667022</v>
      </c>
      <c r="BK400" s="200">
        <f t="shared" si="5188"/>
        <v>113.06703559186538</v>
      </c>
    </row>
    <row r="401" spans="1:63" ht="7.8" x14ac:dyDescent="0.15">
      <c r="A401" s="208" t="s">
        <v>203</v>
      </c>
      <c r="B401" s="192"/>
      <c r="C401" s="192"/>
      <c r="D401" s="192"/>
      <c r="E401" s="192"/>
      <c r="F401" s="192"/>
      <c r="G401" s="192"/>
      <c r="H401" s="192"/>
      <c r="I401" s="192"/>
      <c r="J401" s="192"/>
      <c r="K401" s="192"/>
      <c r="L401" s="192"/>
      <c r="M401" s="192"/>
      <c r="N401" s="192"/>
      <c r="O401" s="192"/>
      <c r="P401" s="192"/>
      <c r="Q401" s="192"/>
      <c r="R401" s="192"/>
      <c r="S401" s="192"/>
      <c r="T401" s="192"/>
      <c r="U401" s="192"/>
      <c r="V401" s="192"/>
      <c r="W401" s="192"/>
      <c r="X401" s="192"/>
      <c r="Y401" s="192"/>
      <c r="Z401" s="192"/>
      <c r="AA401" s="192"/>
      <c r="AB401" s="192"/>
      <c r="AC401" s="192"/>
      <c r="AD401" s="192"/>
      <c r="AE401" s="192"/>
      <c r="AF401" s="192"/>
      <c r="AG401" s="192"/>
      <c r="AH401" s="192"/>
      <c r="AI401" s="192"/>
      <c r="AJ401" s="192"/>
      <c r="AK401" s="192"/>
      <c r="AL401" s="192"/>
      <c r="AM401" s="192"/>
      <c r="AN401" s="192"/>
      <c r="AO401" s="192"/>
      <c r="AP401" s="192"/>
      <c r="AQ401" s="192"/>
      <c r="AR401" s="192"/>
      <c r="AS401" s="192"/>
      <c r="AT401" s="192"/>
      <c r="AU401" s="224">
        <f>IF(AU393-101&lt;&gt;LoanSaleHeld,0,SUM($D400:AU400)*LoanSalePercent)</f>
        <v>0</v>
      </c>
      <c r="AV401" s="225">
        <f>IF(AV393-101&lt;&gt;LoanSaleHeld,0,SUM($D400:AV400)*LoanSalePercent)</f>
        <v>0</v>
      </c>
      <c r="AW401" s="225">
        <f>IF(AW393-101&lt;&gt;LoanSaleHeld,0,SUM($D400:AW400)*LoanSalePercent)</f>
        <v>0</v>
      </c>
      <c r="AX401" s="225">
        <f>IF(AX393-101&lt;&gt;LoanSaleHeld,0,SUM($D400:AX400)*LoanSalePercent)</f>
        <v>245.08598831891123</v>
      </c>
      <c r="AY401" s="225">
        <f>IF(AY393-101&lt;&gt;LoanSaleHeld,0,SUM($D400:AY400)*LoanSalePercent)</f>
        <v>0</v>
      </c>
      <c r="AZ401" s="225">
        <f>IF(AZ393-101&lt;&gt;LoanSaleHeld,0,SUM($D400:AZ400)*LoanSalePercent)</f>
        <v>0</v>
      </c>
      <c r="BA401" s="225">
        <f>IF(BA393-101&lt;&gt;LoanSaleHeld,0,SUM($D400:BA400)*LoanSalePercent)</f>
        <v>0</v>
      </c>
      <c r="BB401" s="225">
        <f>IF(BB393-101&lt;&gt;LoanSaleHeld,0,SUM($D400:BB400)*LoanSalePercent)</f>
        <v>0</v>
      </c>
      <c r="BC401" s="225">
        <f>IF(BC393-101&lt;&gt;LoanSaleHeld,0,SUM($D400:BC400)*LoanSalePercent)</f>
        <v>0</v>
      </c>
      <c r="BD401" s="225">
        <f>IF(BD393-101&lt;&gt;LoanSaleHeld,0,SUM($D400:BD400)*LoanSalePercent)</f>
        <v>0</v>
      </c>
      <c r="BE401" s="225">
        <f>IF(BE393-101&lt;&gt;LoanSaleHeld,0,SUM($D400:BE400)*LoanSalePercent)</f>
        <v>0</v>
      </c>
      <c r="BF401" s="225">
        <f>IF(BF393-101&lt;&gt;LoanSaleHeld,0,SUM($D400:BF400)*LoanSalePercent)</f>
        <v>0</v>
      </c>
      <c r="BG401" s="225">
        <f>IF(BG393-101&lt;&gt;LoanSaleHeld,0,SUM($D400:BG400)*LoanSalePercent)</f>
        <v>0</v>
      </c>
      <c r="BH401" s="225">
        <f>IF(BH393-101&lt;&gt;LoanSaleHeld,0,SUM($D400:BH400)*LoanSalePercent)</f>
        <v>0</v>
      </c>
      <c r="BI401" s="225">
        <f>IF(BI393-101&lt;&gt;LoanSaleHeld,0,SUM($D400:BI400)*LoanSalePercent)</f>
        <v>0</v>
      </c>
      <c r="BJ401" s="225">
        <f>IF(BJ393-101&lt;&gt;LoanSaleHeld,0,SUM($D400:BJ400)*LoanSalePercent)</f>
        <v>0</v>
      </c>
      <c r="BK401" s="225">
        <f>IF(BK393-101&lt;&gt;LoanSaleHeld,0,SUM($D400:BK400)*LoanSalePercent)</f>
        <v>0</v>
      </c>
    </row>
    <row r="402" spans="1:63" ht="7.8" x14ac:dyDescent="0.15">
      <c r="A402" s="204">
        <f t="shared" ref="A402" si="5189">A393+1</f>
        <v>45</v>
      </c>
      <c r="B402" s="192"/>
      <c r="C402" s="192"/>
      <c r="D402" s="192"/>
      <c r="E402" s="192"/>
      <c r="F402" s="192"/>
      <c r="G402" s="192"/>
      <c r="H402" s="192"/>
      <c r="I402" s="192"/>
      <c r="J402" s="192"/>
      <c r="K402" s="192"/>
      <c r="L402" s="192"/>
      <c r="M402" s="192"/>
      <c r="N402" s="192"/>
      <c r="O402" s="192"/>
      <c r="P402" s="192"/>
      <c r="Q402" s="192"/>
      <c r="R402" s="192"/>
      <c r="S402" s="192"/>
      <c r="T402" s="192"/>
      <c r="U402" s="192"/>
      <c r="V402" s="192"/>
      <c r="W402" s="192"/>
      <c r="X402" s="192"/>
      <c r="Y402" s="192"/>
      <c r="Z402" s="192"/>
      <c r="AA402" s="192"/>
      <c r="AB402" s="192"/>
      <c r="AC402" s="192"/>
      <c r="AD402" s="192"/>
      <c r="AE402" s="192"/>
      <c r="AF402" s="192"/>
      <c r="AG402" s="192"/>
      <c r="AH402" s="192"/>
      <c r="AI402" s="192"/>
      <c r="AJ402" s="192"/>
      <c r="AK402" s="192"/>
      <c r="AL402" s="192"/>
      <c r="AM402" s="192"/>
      <c r="AN402" s="192"/>
      <c r="AO402" s="192"/>
      <c r="AP402" s="192"/>
      <c r="AQ402" s="192"/>
      <c r="AR402" s="192"/>
      <c r="AS402" s="192"/>
      <c r="AT402" s="192"/>
      <c r="AU402" s="192"/>
      <c r="AV402" s="195">
        <v>101</v>
      </c>
      <c r="AW402" s="196">
        <f t="shared" ref="AW402" si="5190">IF(AW403=0,0,AV402+1)</f>
        <v>102</v>
      </c>
      <c r="AX402" s="196">
        <f t="shared" ref="AX402" si="5191">IF(AX403=0,0,AW402+1)</f>
        <v>103</v>
      </c>
      <c r="AY402" s="196">
        <f t="shared" ref="AY402" si="5192">IF(AY403=0,0,AX402+1)</f>
        <v>104</v>
      </c>
      <c r="AZ402" s="196">
        <f t="shared" ref="AZ402" si="5193">IF(AZ403=0,0,AY402+1)</f>
        <v>105</v>
      </c>
      <c r="BA402" s="196">
        <f t="shared" ref="BA402" si="5194">IF(BA403=0,0,AZ402+1)</f>
        <v>106</v>
      </c>
      <c r="BB402" s="196">
        <f t="shared" ref="BB402" si="5195">IF(BB403=0,0,BA402+1)</f>
        <v>107</v>
      </c>
      <c r="BC402" s="196">
        <f t="shared" ref="BC402" si="5196">IF(BC403=0,0,BB402+1)</f>
        <v>108</v>
      </c>
      <c r="BD402" s="196">
        <f t="shared" ref="BD402" si="5197">IF(BD403=0,0,BC402+1)</f>
        <v>109</v>
      </c>
      <c r="BE402" s="196">
        <f t="shared" ref="BE402" si="5198">IF(BE403=0,0,BD402+1)</f>
        <v>110</v>
      </c>
      <c r="BF402" s="196">
        <f t="shared" ref="BF402" si="5199">IF(BF403=0,0,BE402+1)</f>
        <v>111</v>
      </c>
      <c r="BG402" s="196">
        <f t="shared" ref="BG402" si="5200">IF(BG403=0,0,BF402+1)</f>
        <v>112</v>
      </c>
      <c r="BH402" s="196">
        <f t="shared" ref="BH402" si="5201">IF(BH403=0,0,BG402+1)</f>
        <v>113</v>
      </c>
      <c r="BI402" s="196">
        <f t="shared" ref="BI402" si="5202">IF(BI403=0,0,BH402+1)</f>
        <v>114</v>
      </c>
      <c r="BJ402" s="196">
        <f t="shared" ref="BJ402" si="5203">IF(BJ403=0,0,BI402+1)</f>
        <v>115</v>
      </c>
      <c r="BK402" s="196">
        <f t="shared" ref="BK402" si="5204">IF(BK403=0,0,BJ402+1)</f>
        <v>116</v>
      </c>
    </row>
    <row r="403" spans="1:63" ht="7.8" x14ac:dyDescent="0.15">
      <c r="A403" s="216" t="s">
        <v>178</v>
      </c>
      <c r="B403" s="192"/>
      <c r="C403" s="192"/>
      <c r="D403" s="192"/>
      <c r="E403" s="192"/>
      <c r="F403" s="192"/>
      <c r="G403" s="192"/>
      <c r="H403" s="192"/>
      <c r="I403" s="192"/>
      <c r="J403" s="192"/>
      <c r="K403" s="192"/>
      <c r="L403" s="192"/>
      <c r="M403" s="192"/>
      <c r="N403" s="192"/>
      <c r="O403" s="192"/>
      <c r="P403" s="192"/>
      <c r="Q403" s="192"/>
      <c r="R403" s="192"/>
      <c r="S403" s="192"/>
      <c r="T403" s="192"/>
      <c r="U403" s="192"/>
      <c r="V403" s="192"/>
      <c r="W403" s="192"/>
      <c r="X403" s="192"/>
      <c r="Y403" s="192"/>
      <c r="Z403" s="192"/>
      <c r="AA403" s="192"/>
      <c r="AB403" s="192"/>
      <c r="AC403" s="192"/>
      <c r="AD403" s="192"/>
      <c r="AE403" s="192"/>
      <c r="AF403" s="192"/>
      <c r="AG403" s="192"/>
      <c r="AH403" s="192"/>
      <c r="AI403" s="192"/>
      <c r="AJ403" s="192"/>
      <c r="AK403" s="192"/>
      <c r="AL403" s="192"/>
      <c r="AM403" s="192"/>
      <c r="AN403" s="192"/>
      <c r="AO403" s="192"/>
      <c r="AP403" s="192"/>
      <c r="AQ403" s="192"/>
      <c r="AR403" s="192"/>
      <c r="AS403" s="192"/>
      <c r="AT403" s="192"/>
      <c r="AU403" s="192"/>
      <c r="AV403" s="217">
        <f>LoanSize</f>
        <v>25</v>
      </c>
      <c r="AW403" s="215">
        <f>IF(AV403-AV406&lt;=0.1,0,AV403-AV406)</f>
        <v>23.79027212253634</v>
      </c>
      <c r="AX403" s="215">
        <f t="shared" ref="AX403:BK403" si="5205">IF(AW403-AW406&lt;=0.1,0,AW403-AW406)</f>
        <v>22.56189427362845</v>
      </c>
      <c r="AY403" s="215">
        <f t="shared" si="5205"/>
        <v>21.314578932883229</v>
      </c>
      <c r="AZ403" s="215">
        <f t="shared" si="5205"/>
        <v>20.048034147301522</v>
      </c>
      <c r="BA403" s="215">
        <f t="shared" si="5205"/>
        <v>18.761963462942095</v>
      </c>
      <c r="BB403" s="215">
        <f t="shared" si="5205"/>
        <v>17.456065855532128</v>
      </c>
      <c r="BC403" s="215">
        <f t="shared" si="5205"/>
        <v>16.130035660007923</v>
      </c>
      <c r="BD403" s="215">
        <f t="shared" si="5205"/>
        <v>14.783562498969387</v>
      </c>
      <c r="BE403" s="215">
        <f t="shared" si="5205"/>
        <v>13.416331210031506</v>
      </c>
      <c r="BF403" s="215">
        <f t="shared" si="5205"/>
        <v>12.028021772055833</v>
      </c>
      <c r="BG403" s="215">
        <f t="shared" si="5205"/>
        <v>10.618309230244702</v>
      </c>
      <c r="BH403" s="215">
        <f t="shared" si="5205"/>
        <v>9.1868636200806488</v>
      </c>
      <c r="BI403" s="215">
        <f t="shared" si="5205"/>
        <v>7.7333498900932334</v>
      </c>
      <c r="BJ403" s="215">
        <f t="shared" si="5205"/>
        <v>6.2574278234351794</v>
      </c>
      <c r="BK403" s="215">
        <f t="shared" si="5205"/>
        <v>4.7587519582494799</v>
      </c>
    </row>
    <row r="404" spans="1:63" ht="7.8" x14ac:dyDescent="0.15">
      <c r="A404" s="218" t="s">
        <v>179</v>
      </c>
      <c r="B404" s="192"/>
      <c r="C404" s="192"/>
      <c r="D404" s="192"/>
      <c r="E404" s="192"/>
      <c r="F404" s="192"/>
      <c r="G404" s="192"/>
      <c r="H404" s="192"/>
      <c r="I404" s="192"/>
      <c r="J404" s="192"/>
      <c r="K404" s="192"/>
      <c r="L404" s="192"/>
      <c r="M404" s="192"/>
      <c r="N404" s="192"/>
      <c r="O404" s="192"/>
      <c r="P404" s="192"/>
      <c r="Q404" s="192"/>
      <c r="R404" s="192"/>
      <c r="S404" s="192"/>
      <c r="T404" s="192"/>
      <c r="U404" s="192"/>
      <c r="V404" s="192"/>
      <c r="W404" s="192"/>
      <c r="X404" s="192"/>
      <c r="Y404" s="192"/>
      <c r="Z404" s="192"/>
      <c r="AA404" s="192"/>
      <c r="AB404" s="192"/>
      <c r="AC404" s="192"/>
      <c r="AD404" s="192"/>
      <c r="AE404" s="192"/>
      <c r="AF404" s="192"/>
      <c r="AG404" s="192"/>
      <c r="AH404" s="192"/>
      <c r="AI404" s="192"/>
      <c r="AJ404" s="192"/>
      <c r="AK404" s="192"/>
      <c r="AL404" s="192"/>
      <c r="AM404" s="192"/>
      <c r="AN404" s="192"/>
      <c r="AO404" s="192"/>
      <c r="AP404" s="192"/>
      <c r="AQ404" s="192"/>
      <c r="AR404" s="192"/>
      <c r="AS404" s="192"/>
      <c r="AT404" s="192"/>
      <c r="AU404" s="192"/>
      <c r="AV404" s="219">
        <f>IF(AV403=0,0,PMT(INDEX(LoanCohortRate,1),LoanTerm, -LoanSize))</f>
        <v>1.5951445441303251</v>
      </c>
      <c r="AW404" s="222">
        <f t="shared" ref="AW404" si="5206">IF(AW403=0,0, AV404)</f>
        <v>1.5951445441303251</v>
      </c>
      <c r="AX404" s="222">
        <f t="shared" ref="AX404" si="5207">IF(AX403=0,0, AW404)</f>
        <v>1.5951445441303251</v>
      </c>
      <c r="AY404" s="222">
        <f t="shared" ref="AY404" si="5208">IF(AY403=0,0, AX404)</f>
        <v>1.5951445441303251</v>
      </c>
      <c r="AZ404" s="222">
        <f t="shared" ref="AZ404" si="5209">IF(AZ403=0,0, AY404)</f>
        <v>1.5951445441303251</v>
      </c>
      <c r="BA404" s="222">
        <f t="shared" ref="BA404" si="5210">IF(BA403=0,0, AZ404)</f>
        <v>1.5951445441303251</v>
      </c>
      <c r="BB404" s="222">
        <f t="shared" ref="BB404" si="5211">IF(BB403=0,0, BA404)</f>
        <v>1.5951445441303251</v>
      </c>
      <c r="BC404" s="222">
        <f t="shared" ref="BC404" si="5212">IF(BC403=0,0, BB404)</f>
        <v>1.5951445441303251</v>
      </c>
      <c r="BD404" s="222">
        <f t="shared" ref="BD404" si="5213">IF(BD403=0,0, BC404)</f>
        <v>1.5951445441303251</v>
      </c>
      <c r="BE404" s="222">
        <f t="shared" ref="BE404" si="5214">IF(BE403=0,0, BD404)</f>
        <v>1.5951445441303251</v>
      </c>
      <c r="BF404" s="222">
        <f t="shared" ref="BF404" si="5215">IF(BF403=0,0, BE404)</f>
        <v>1.5951445441303251</v>
      </c>
      <c r="BG404" s="222">
        <f t="shared" ref="BG404" si="5216">IF(BG403=0,0, BF404)</f>
        <v>1.5951445441303251</v>
      </c>
      <c r="BH404" s="222">
        <f t="shared" ref="BH404" si="5217">IF(BH403=0,0, BG404)</f>
        <v>1.5951445441303251</v>
      </c>
      <c r="BI404" s="222">
        <f t="shared" ref="BI404" si="5218">IF(BI403=0,0, BH404)</f>
        <v>1.5951445441303251</v>
      </c>
      <c r="BJ404" s="222">
        <f t="shared" ref="BJ404" si="5219">IF(BJ403=0,0, BI404)</f>
        <v>1.5951445441303251</v>
      </c>
      <c r="BK404" s="222">
        <f t="shared" ref="BK404" si="5220">IF(BK403=0,0, BJ404)</f>
        <v>1.5951445441303251</v>
      </c>
    </row>
    <row r="405" spans="1:63" ht="7.8" x14ac:dyDescent="0.15">
      <c r="A405" s="218" t="s">
        <v>180</v>
      </c>
      <c r="B405" s="192"/>
      <c r="C405" s="192"/>
      <c r="D405" s="192"/>
      <c r="E405" s="192"/>
      <c r="F405" s="192"/>
      <c r="G405" s="192"/>
      <c r="H405" s="192"/>
      <c r="I405" s="192"/>
      <c r="J405" s="192"/>
      <c r="K405" s="192"/>
      <c r="L405" s="192"/>
      <c r="M405" s="192"/>
      <c r="N405" s="192"/>
      <c r="O405" s="192"/>
      <c r="P405" s="192"/>
      <c r="Q405" s="192"/>
      <c r="R405" s="192"/>
      <c r="S405" s="192"/>
      <c r="T405" s="192"/>
      <c r="U405" s="192"/>
      <c r="V405" s="192"/>
      <c r="W405" s="192"/>
      <c r="X405" s="192"/>
      <c r="Y405" s="192"/>
      <c r="Z405" s="192"/>
      <c r="AA405" s="192"/>
      <c r="AB405" s="192"/>
      <c r="AC405" s="192"/>
      <c r="AD405" s="192"/>
      <c r="AE405" s="192"/>
      <c r="AF405" s="192"/>
      <c r="AG405" s="192"/>
      <c r="AH405" s="192"/>
      <c r="AI405" s="192"/>
      <c r="AJ405" s="192"/>
      <c r="AK405" s="192"/>
      <c r="AL405" s="192"/>
      <c r="AM405" s="192"/>
      <c r="AN405" s="192"/>
      <c r="AO405" s="192"/>
      <c r="AP405" s="192"/>
      <c r="AQ405" s="192"/>
      <c r="AR405" s="192"/>
      <c r="AS405" s="192"/>
      <c r="AT405" s="192"/>
      <c r="AU405" s="192"/>
      <c r="AV405" s="220" cm="1">
        <f t="array" ref="AV405">AV403*INDEX(LoanCohortRate,$A402)</f>
        <v>0.38541666666666669</v>
      </c>
      <c r="AW405" s="221" cm="1">
        <f t="array" ref="AW405">AW403*INDEX(LoanCohortRate,$A402)</f>
        <v>0.36676669522243527</v>
      </c>
      <c r="AX405" s="221" cm="1">
        <f t="array" ref="AX405">AX403*INDEX(LoanCohortRate,$A402)</f>
        <v>0.34782920338510526</v>
      </c>
      <c r="AY405" s="221" cm="1">
        <f t="array" ref="AY405">AY403*INDEX(LoanCohortRate,$A402)</f>
        <v>0.32859975854861645</v>
      </c>
      <c r="AZ405" s="221" cm="1">
        <f t="array" ref="AZ405">AZ403*INDEX(LoanCohortRate,$A402)</f>
        <v>0.30907385977089846</v>
      </c>
      <c r="BA405" s="221" cm="1">
        <f t="array" ref="BA405">BA403*INDEX(LoanCohortRate,$A402)</f>
        <v>0.28924693672035728</v>
      </c>
      <c r="BB405" s="221" cm="1">
        <f t="array" ref="BB405">BB403*INDEX(LoanCohortRate,$A402)</f>
        <v>0.26911434860612032</v>
      </c>
      <c r="BC405" s="221" cm="1">
        <f t="array" ref="BC405">BC403*INDEX(LoanCohortRate,$A402)</f>
        <v>0.24867138309178882</v>
      </c>
      <c r="BD405" s="221" cm="1">
        <f t="array" ref="BD405">BD403*INDEX(LoanCohortRate,$A402)</f>
        <v>0.22791325519244471</v>
      </c>
      <c r="BE405" s="221" cm="1">
        <f t="array" ref="BE405">BE403*INDEX(LoanCohortRate,$A402)</f>
        <v>0.20683510615465239</v>
      </c>
      <c r="BF405" s="221" cm="1">
        <f t="array" ref="BF405">BF403*INDEX(LoanCohortRate,$A402)</f>
        <v>0.1854320023191941</v>
      </c>
      <c r="BG405" s="221" cm="1">
        <f t="array" ref="BG405">BG403*INDEX(LoanCohortRate,$A402)</f>
        <v>0.1636989339662725</v>
      </c>
      <c r="BH405" s="221" cm="1">
        <f t="array" ref="BH405">BH403*INDEX(LoanCohortRate,$A402)</f>
        <v>0.14163081414291001</v>
      </c>
      <c r="BI405" s="221" cm="1">
        <f t="array" ref="BI405">BI403*INDEX(LoanCohortRate,$A402)</f>
        <v>0.11922247747227069</v>
      </c>
      <c r="BJ405" s="221" cm="1">
        <f t="array" ref="BJ405">BJ403*INDEX(LoanCohortRate,$A402)</f>
        <v>9.6468678944625685E-2</v>
      </c>
      <c r="BK405" s="221" cm="1">
        <f t="array" ref="BK405">BK403*INDEX(LoanCohortRate,$A402)</f>
        <v>7.3364092689679486E-2</v>
      </c>
    </row>
    <row r="406" spans="1:63" ht="7.8" x14ac:dyDescent="0.15">
      <c r="A406" s="218" t="s">
        <v>177</v>
      </c>
      <c r="B406" s="192"/>
      <c r="C406" s="192"/>
      <c r="D406" s="192"/>
      <c r="E406" s="192"/>
      <c r="F406" s="192"/>
      <c r="G406" s="192"/>
      <c r="H406" s="192"/>
      <c r="I406" s="192"/>
      <c r="J406" s="192"/>
      <c r="K406" s="192"/>
      <c r="L406" s="192"/>
      <c r="M406" s="192"/>
      <c r="N406" s="192"/>
      <c r="O406" s="192"/>
      <c r="P406" s="192"/>
      <c r="Q406" s="192"/>
      <c r="R406" s="192"/>
      <c r="S406" s="192"/>
      <c r="T406" s="192"/>
      <c r="U406" s="192"/>
      <c r="V406" s="192"/>
      <c r="W406" s="192"/>
      <c r="X406" s="192"/>
      <c r="Y406" s="192"/>
      <c r="Z406" s="192"/>
      <c r="AA406" s="192"/>
      <c r="AB406" s="192"/>
      <c r="AC406" s="192"/>
      <c r="AD406" s="192"/>
      <c r="AE406" s="192"/>
      <c r="AF406" s="192"/>
      <c r="AG406" s="192"/>
      <c r="AH406" s="192"/>
      <c r="AI406" s="192"/>
      <c r="AJ406" s="192"/>
      <c r="AK406" s="192"/>
      <c r="AL406" s="192"/>
      <c r="AM406" s="192"/>
      <c r="AN406" s="192"/>
      <c r="AO406" s="192"/>
      <c r="AP406" s="192"/>
      <c r="AQ406" s="192"/>
      <c r="AR406" s="192"/>
      <c r="AS406" s="192"/>
      <c r="AT406" s="192"/>
      <c r="AU406" s="192"/>
      <c r="AV406" s="219">
        <f>AV404-AV405</f>
        <v>1.2097278774636584</v>
      </c>
      <c r="AW406" s="222">
        <f t="shared" ref="AW406:BK406" si="5221">AW404-AW405</f>
        <v>1.2283778489078898</v>
      </c>
      <c r="AX406" s="222">
        <f t="shared" si="5221"/>
        <v>1.24731534074522</v>
      </c>
      <c r="AY406" s="222">
        <f t="shared" si="5221"/>
        <v>1.2665447855817087</v>
      </c>
      <c r="AZ406" s="222">
        <f t="shared" si="5221"/>
        <v>1.2860706843594267</v>
      </c>
      <c r="BA406" s="222">
        <f t="shared" si="5221"/>
        <v>1.305897607409968</v>
      </c>
      <c r="BB406" s="222">
        <f t="shared" si="5221"/>
        <v>1.3260301955242049</v>
      </c>
      <c r="BC406" s="222">
        <f t="shared" si="5221"/>
        <v>1.3464731610385363</v>
      </c>
      <c r="BD406" s="222">
        <f t="shared" si="5221"/>
        <v>1.3672312889378804</v>
      </c>
      <c r="BE406" s="222">
        <f t="shared" si="5221"/>
        <v>1.3883094379756726</v>
      </c>
      <c r="BF406" s="222">
        <f t="shared" si="5221"/>
        <v>1.4097125418111309</v>
      </c>
      <c r="BG406" s="222">
        <f t="shared" si="5221"/>
        <v>1.4314456101640527</v>
      </c>
      <c r="BH406" s="222">
        <f t="shared" si="5221"/>
        <v>1.453513729987415</v>
      </c>
      <c r="BI406" s="222">
        <f t="shared" si="5221"/>
        <v>1.4759220666580544</v>
      </c>
      <c r="BJ406" s="222">
        <f t="shared" si="5221"/>
        <v>1.4986758651856995</v>
      </c>
      <c r="BK406" s="222">
        <f t="shared" si="5221"/>
        <v>1.5217804514406457</v>
      </c>
    </row>
    <row r="407" spans="1:63" ht="7.8" x14ac:dyDescent="0.15">
      <c r="A407" s="205" t="s">
        <v>7</v>
      </c>
      <c r="B407" s="192"/>
      <c r="C407" s="192"/>
      <c r="D407" s="192"/>
      <c r="E407" s="192"/>
      <c r="F407" s="192"/>
      <c r="G407" s="192"/>
      <c r="H407" s="192"/>
      <c r="I407" s="192"/>
      <c r="J407" s="192"/>
      <c r="K407" s="192"/>
      <c r="L407" s="192"/>
      <c r="M407" s="192"/>
      <c r="N407" s="192"/>
      <c r="O407" s="192"/>
      <c r="P407" s="192"/>
      <c r="Q407" s="192"/>
      <c r="R407" s="192"/>
      <c r="S407" s="192"/>
      <c r="T407" s="192"/>
      <c r="U407" s="192"/>
      <c r="V407" s="192"/>
      <c r="W407" s="192"/>
      <c r="X407" s="192"/>
      <c r="Y407" s="192"/>
      <c r="Z407" s="192"/>
      <c r="AA407" s="192"/>
      <c r="AB407" s="192"/>
      <c r="AC407" s="192"/>
      <c r="AD407" s="192"/>
      <c r="AE407" s="192"/>
      <c r="AF407" s="192"/>
      <c r="AG407" s="192"/>
      <c r="AH407" s="192"/>
      <c r="AI407" s="192"/>
      <c r="AJ407" s="192"/>
      <c r="AK407" s="192"/>
      <c r="AL407" s="192"/>
      <c r="AM407" s="192"/>
      <c r="AN407" s="192"/>
      <c r="AO407" s="192"/>
      <c r="AP407" s="192"/>
      <c r="AQ407" s="192"/>
      <c r="AR407" s="192"/>
      <c r="AS407" s="192"/>
      <c r="AT407" s="192"/>
      <c r="AU407" s="192"/>
      <c r="AV407" s="214" cm="1">
        <f t="array" ref="AV407">INDEX(LoanOriginations,$A402)</f>
        <v>124.53938515121165</v>
      </c>
      <c r="AW407" s="199">
        <f t="shared" ref="AW407:BK407" si="5222">AV407*(1-MitigateDelinquency*MitigateChargeoff)  *  IF(AW402=0,0,IF(AW402-102=LoanSaleHeld,0.6,1))</f>
        <v>124.41484576606044</v>
      </c>
      <c r="AX407" s="199">
        <f t="shared" si="5222"/>
        <v>124.29043092029438</v>
      </c>
      <c r="AY407" s="199">
        <f t="shared" si="5222"/>
        <v>124.16614048937409</v>
      </c>
      <c r="AZ407" s="199">
        <f t="shared" si="5222"/>
        <v>74.425184609330827</v>
      </c>
      <c r="BA407" s="199">
        <f t="shared" si="5222"/>
        <v>74.350759424721502</v>
      </c>
      <c r="BB407" s="199">
        <f t="shared" si="5222"/>
        <v>74.276408665296785</v>
      </c>
      <c r="BC407" s="199">
        <f t="shared" si="5222"/>
        <v>74.202132256631486</v>
      </c>
      <c r="BD407" s="199">
        <f t="shared" si="5222"/>
        <v>74.127930124374856</v>
      </c>
      <c r="BE407" s="199">
        <f t="shared" si="5222"/>
        <v>74.05380219425048</v>
      </c>
      <c r="BF407" s="199">
        <f t="shared" si="5222"/>
        <v>73.979748392056223</v>
      </c>
      <c r="BG407" s="199">
        <f t="shared" si="5222"/>
        <v>73.90576864366416</v>
      </c>
      <c r="BH407" s="199">
        <f t="shared" si="5222"/>
        <v>73.831862875020491</v>
      </c>
      <c r="BI407" s="199">
        <f t="shared" si="5222"/>
        <v>73.758031012145466</v>
      </c>
      <c r="BJ407" s="199">
        <f t="shared" si="5222"/>
        <v>73.684272981133319</v>
      </c>
      <c r="BK407" s="199">
        <f t="shared" si="5222"/>
        <v>73.610588708152179</v>
      </c>
    </row>
    <row r="408" spans="1:63" ht="7.8" x14ac:dyDescent="0.15">
      <c r="A408" s="207" t="s">
        <v>96</v>
      </c>
      <c r="B408" s="192"/>
      <c r="C408" s="192"/>
      <c r="D408" s="192"/>
      <c r="E408" s="192"/>
      <c r="F408" s="192"/>
      <c r="G408" s="192"/>
      <c r="H408" s="192"/>
      <c r="I408" s="192"/>
      <c r="J408" s="192"/>
      <c r="K408" s="192"/>
      <c r="L408" s="192"/>
      <c r="M408" s="192"/>
      <c r="N408" s="192"/>
      <c r="O408" s="192"/>
      <c r="P408" s="192"/>
      <c r="Q408" s="192"/>
      <c r="R408" s="192"/>
      <c r="S408" s="192"/>
      <c r="T408" s="192"/>
      <c r="U408" s="192"/>
      <c r="V408" s="192"/>
      <c r="W408" s="192"/>
      <c r="X408" s="192"/>
      <c r="Y408" s="192"/>
      <c r="Z408" s="192"/>
      <c r="AA408" s="192"/>
      <c r="AB408" s="192"/>
      <c r="AC408" s="192"/>
      <c r="AD408" s="192"/>
      <c r="AE408" s="192"/>
      <c r="AF408" s="192"/>
      <c r="AG408" s="192"/>
      <c r="AH408" s="192"/>
      <c r="AI408" s="192"/>
      <c r="AJ408" s="192"/>
      <c r="AK408" s="192"/>
      <c r="AL408" s="192"/>
      <c r="AM408" s="192"/>
      <c r="AN408" s="192"/>
      <c r="AO408" s="192"/>
      <c r="AP408" s="192"/>
      <c r="AQ408" s="192"/>
      <c r="AR408" s="192"/>
      <c r="AS408" s="192"/>
      <c r="AT408" s="192"/>
      <c r="AU408" s="192"/>
      <c r="AV408" s="223">
        <f>AV405*AV407</f>
        <v>47.999554693696155</v>
      </c>
      <c r="AW408" s="200">
        <f t="shared" ref="AW408" si="5223">AW405*AW407</f>
        <v>45.631221818226983</v>
      </c>
      <c r="AX408" s="200">
        <f t="shared" ref="AX408" si="5224">AX405*AX407</f>
        <v>43.231841575397453</v>
      </c>
      <c r="AY408" s="200">
        <f t="shared" ref="AY408" si="5225">AY405*AY407</f>
        <v>40.800963784721915</v>
      </c>
      <c r="AZ408" s="200">
        <f t="shared" ref="AZ408" si="5226">AZ405*AZ407</f>
        <v>23.002879071367545</v>
      </c>
      <c r="BA408" s="200">
        <f t="shared" ref="BA408" si="5227">BA405*BA407</f>
        <v>21.505729406432927</v>
      </c>
      <c r="BB408" s="200">
        <f t="shared" ref="BB408" si="5228">BB405*BB407</f>
        <v>19.988847334763335</v>
      </c>
      <c r="BC408" s="200">
        <f t="shared" ref="BC408" si="5229">BC405*BC407</f>
        <v>18.451946856616388</v>
      </c>
      <c r="BD408" s="200">
        <f t="shared" ref="BD408" si="5230">BD405*BD407</f>
        <v>16.894737855324355</v>
      </c>
      <c r="BE408" s="200">
        <f t="shared" ref="BE408" si="5231">BE405*BE407</f>
        <v>15.316926038003428</v>
      </c>
      <c r="BF408" s="200">
        <f t="shared" ref="BF408" si="5232">BF405*BF407</f>
        <v>13.718212875409165</v>
      </c>
      <c r="BG408" s="200">
        <f t="shared" ref="BG408" si="5233">BG405*BG407</f>
        <v>12.098295540925792</v>
      </c>
      <c r="BH408" s="200">
        <f t="shared" ref="BH408" si="5234">BH405*BH407</f>
        <v>10.456866848676844</v>
      </c>
      <c r="BI408" s="200">
        <f t="shared" ref="BI408" si="5235">BI405*BI407</f>
        <v>8.7936151907445552</v>
      </c>
      <c r="BJ408" s="200">
        <f t="shared" ref="BJ408" si="5236">BJ405*BJ407</f>
        <v>7.108224473485107</v>
      </c>
      <c r="BK408" s="200">
        <f t="shared" ref="BK408" si="5237">BK405*BK407</f>
        <v>5.4003740529267503</v>
      </c>
    </row>
    <row r="409" spans="1:63" ht="7.8" x14ac:dyDescent="0.15">
      <c r="A409" s="206" t="s">
        <v>97</v>
      </c>
      <c r="B409" s="192"/>
      <c r="C409" s="192"/>
      <c r="D409" s="192"/>
      <c r="E409" s="192"/>
      <c r="F409" s="192"/>
      <c r="G409" s="192"/>
      <c r="H409" s="192"/>
      <c r="I409" s="192"/>
      <c r="J409" s="192"/>
      <c r="K409" s="192"/>
      <c r="L409" s="192"/>
      <c r="M409" s="192"/>
      <c r="N409" s="192"/>
      <c r="O409" s="192"/>
      <c r="P409" s="192"/>
      <c r="Q409" s="192"/>
      <c r="R409" s="192"/>
      <c r="S409" s="192"/>
      <c r="T409" s="192"/>
      <c r="U409" s="192"/>
      <c r="V409" s="192"/>
      <c r="W409" s="192"/>
      <c r="X409" s="192"/>
      <c r="Y409" s="192"/>
      <c r="Z409" s="192"/>
      <c r="AA409" s="192"/>
      <c r="AB409" s="192"/>
      <c r="AC409" s="192"/>
      <c r="AD409" s="192"/>
      <c r="AE409" s="192"/>
      <c r="AF409" s="192"/>
      <c r="AG409" s="192"/>
      <c r="AH409" s="192"/>
      <c r="AI409" s="192"/>
      <c r="AJ409" s="192"/>
      <c r="AK409" s="192"/>
      <c r="AL409" s="192"/>
      <c r="AM409" s="192"/>
      <c r="AN409" s="192"/>
      <c r="AO409" s="192"/>
      <c r="AP409" s="192"/>
      <c r="AQ409" s="192"/>
      <c r="AR409" s="192"/>
      <c r="AS409" s="192"/>
      <c r="AT409" s="192"/>
      <c r="AU409" s="192"/>
      <c r="AV409" s="223">
        <f>AV406*AV407</f>
        <v>150.65876605960432</v>
      </c>
      <c r="AW409" s="200">
        <f>AW406*AW407</f>
        <v>152.82844061432021</v>
      </c>
      <c r="AX409" s="200">
        <f t="shared" ref="AX409:BK409" si="5238">AX406*AX407</f>
        <v>155.02936119471721</v>
      </c>
      <c r="AY409" s="200">
        <f t="shared" si="5238"/>
        <v>157.26197778262261</v>
      </c>
      <c r="AZ409" s="200">
        <f t="shared" si="5238"/>
        <v>95.716048104098775</v>
      </c>
      <c r="BA409" s="200">
        <f t="shared" si="5238"/>
        <v>97.094478841857935</v>
      </c>
      <c r="BB409" s="200">
        <f t="shared" si="5238"/>
        <v>98.492760705279238</v>
      </c>
      <c r="BC409" s="200">
        <f t="shared" si="5238"/>
        <v>99.911179575386143</v>
      </c>
      <c r="BD409" s="200">
        <f t="shared" si="5238"/>
        <v>101.35002545024616</v>
      </c>
      <c r="BE409" s="200">
        <f t="shared" si="5238"/>
        <v>102.80959250426152</v>
      </c>
      <c r="BF409" s="200">
        <f t="shared" si="5238"/>
        <v>104.2901791483135</v>
      </c>
      <c r="BG409" s="200">
        <f t="shared" si="5238"/>
        <v>105.79208809077316</v>
      </c>
      <c r="BH409" s="200">
        <f t="shared" si="5238"/>
        <v>107.31562639939038</v>
      </c>
      <c r="BI409" s="200">
        <f t="shared" si="5238"/>
        <v>108.86110556407461</v>
      </c>
      <c r="BJ409" s="200">
        <f t="shared" si="5238"/>
        <v>110.42884156057924</v>
      </c>
      <c r="BK409" s="200">
        <f t="shared" si="5238"/>
        <v>112.01915491510351</v>
      </c>
    </row>
    <row r="410" spans="1:63" ht="7.8" x14ac:dyDescent="0.15">
      <c r="A410" s="208" t="s">
        <v>203</v>
      </c>
      <c r="B410" s="192"/>
      <c r="C410" s="192"/>
      <c r="D410" s="192"/>
      <c r="E410" s="192"/>
      <c r="F410" s="192"/>
      <c r="G410" s="192"/>
      <c r="H410" s="192"/>
      <c r="I410" s="192"/>
      <c r="J410" s="192"/>
      <c r="K410" s="192"/>
      <c r="L410" s="192"/>
      <c r="M410" s="192"/>
      <c r="N410" s="192"/>
      <c r="O410" s="192"/>
      <c r="P410" s="192"/>
      <c r="Q410" s="192"/>
      <c r="R410" s="192"/>
      <c r="S410" s="192"/>
      <c r="T410" s="192"/>
      <c r="U410" s="192"/>
      <c r="V410" s="192"/>
      <c r="W410" s="192"/>
      <c r="X410" s="192"/>
      <c r="Y410" s="192"/>
      <c r="Z410" s="192"/>
      <c r="AA410" s="192"/>
      <c r="AB410" s="192"/>
      <c r="AC410" s="192"/>
      <c r="AD410" s="192"/>
      <c r="AE410" s="192"/>
      <c r="AF410" s="192"/>
      <c r="AG410" s="192"/>
      <c r="AH410" s="192"/>
      <c r="AI410" s="192"/>
      <c r="AJ410" s="192"/>
      <c r="AK410" s="192"/>
      <c r="AL410" s="192"/>
      <c r="AM410" s="192"/>
      <c r="AN410" s="192"/>
      <c r="AO410" s="192"/>
      <c r="AP410" s="192"/>
      <c r="AQ410" s="192"/>
      <c r="AR410" s="192"/>
      <c r="AS410" s="192"/>
      <c r="AT410" s="192"/>
      <c r="AU410" s="192"/>
      <c r="AV410" s="224">
        <f>IF(AV402-101&lt;&gt;LoanSaleHeld,0,SUM($D409:AV409)*LoanSalePercent)</f>
        <v>0</v>
      </c>
      <c r="AW410" s="225">
        <f>IF(AW402-101&lt;&gt;LoanSaleHeld,0,SUM($D409:AW409)*LoanSalePercent)</f>
        <v>0</v>
      </c>
      <c r="AX410" s="225">
        <f>IF(AX402-101&lt;&gt;LoanSaleHeld,0,SUM($D409:AX409)*LoanSalePercent)</f>
        <v>0</v>
      </c>
      <c r="AY410" s="225">
        <f>IF(AY402-101&lt;&gt;LoanSaleHeld,0,SUM($D409:AY409)*LoanSalePercent)</f>
        <v>246.31141826050577</v>
      </c>
      <c r="AZ410" s="225">
        <f>IF(AZ402-101&lt;&gt;LoanSaleHeld,0,SUM($D409:AZ409)*LoanSalePercent)</f>
        <v>0</v>
      </c>
      <c r="BA410" s="225">
        <f>IF(BA402-101&lt;&gt;LoanSaleHeld,0,SUM($D409:BA409)*LoanSalePercent)</f>
        <v>0</v>
      </c>
      <c r="BB410" s="225">
        <f>IF(BB402-101&lt;&gt;LoanSaleHeld,0,SUM($D409:BB409)*LoanSalePercent)</f>
        <v>0</v>
      </c>
      <c r="BC410" s="225">
        <f>IF(BC402-101&lt;&gt;LoanSaleHeld,0,SUM($D409:BC409)*LoanSalePercent)</f>
        <v>0</v>
      </c>
      <c r="BD410" s="225">
        <f>IF(BD402-101&lt;&gt;LoanSaleHeld,0,SUM($D409:BD409)*LoanSalePercent)</f>
        <v>0</v>
      </c>
      <c r="BE410" s="225">
        <f>IF(BE402-101&lt;&gt;LoanSaleHeld,0,SUM($D409:BE409)*LoanSalePercent)</f>
        <v>0</v>
      </c>
      <c r="BF410" s="225">
        <f>IF(BF402-101&lt;&gt;LoanSaleHeld,0,SUM($D409:BF409)*LoanSalePercent)</f>
        <v>0</v>
      </c>
      <c r="BG410" s="225">
        <f>IF(BG402-101&lt;&gt;LoanSaleHeld,0,SUM($D409:BG409)*LoanSalePercent)</f>
        <v>0</v>
      </c>
      <c r="BH410" s="225">
        <f>IF(BH402-101&lt;&gt;LoanSaleHeld,0,SUM($D409:BH409)*LoanSalePercent)</f>
        <v>0</v>
      </c>
      <c r="BI410" s="225">
        <f>IF(BI402-101&lt;&gt;LoanSaleHeld,0,SUM($D409:BI409)*LoanSalePercent)</f>
        <v>0</v>
      </c>
      <c r="BJ410" s="225">
        <f>IF(BJ402-101&lt;&gt;LoanSaleHeld,0,SUM($D409:BJ409)*LoanSalePercent)</f>
        <v>0</v>
      </c>
      <c r="BK410" s="225">
        <f>IF(BK402-101&lt;&gt;LoanSaleHeld,0,SUM($D409:BK409)*LoanSalePercent)</f>
        <v>0</v>
      </c>
    </row>
    <row r="411" spans="1:63" ht="7.8" x14ac:dyDescent="0.15">
      <c r="A411" s="204">
        <f t="shared" ref="A411" si="5239">A402+1</f>
        <v>46</v>
      </c>
      <c r="B411" s="192"/>
      <c r="C411" s="192"/>
      <c r="D411" s="192"/>
      <c r="E411" s="192"/>
      <c r="F411" s="192"/>
      <c r="G411" s="192"/>
      <c r="H411" s="192"/>
      <c r="I411" s="192"/>
      <c r="J411" s="192"/>
      <c r="K411" s="192"/>
      <c r="L411" s="192"/>
      <c r="M411" s="192"/>
      <c r="N411" s="192"/>
      <c r="O411" s="192"/>
      <c r="P411" s="192"/>
      <c r="Q411" s="192"/>
      <c r="R411" s="192"/>
      <c r="S411" s="192"/>
      <c r="T411" s="192"/>
      <c r="U411" s="192"/>
      <c r="V411" s="192"/>
      <c r="W411" s="192"/>
      <c r="X411" s="192"/>
      <c r="Y411" s="192"/>
      <c r="Z411" s="192"/>
      <c r="AA411" s="192"/>
      <c r="AB411" s="192"/>
      <c r="AC411" s="192"/>
      <c r="AD411" s="192"/>
      <c r="AE411" s="192"/>
      <c r="AF411" s="192"/>
      <c r="AG411" s="192"/>
      <c r="AH411" s="192"/>
      <c r="AI411" s="192"/>
      <c r="AJ411" s="192"/>
      <c r="AK411" s="192"/>
      <c r="AL411" s="192"/>
      <c r="AM411" s="192"/>
      <c r="AN411" s="192"/>
      <c r="AO411" s="192"/>
      <c r="AP411" s="192"/>
      <c r="AQ411" s="192"/>
      <c r="AR411" s="192"/>
      <c r="AS411" s="192"/>
      <c r="AT411" s="192"/>
      <c r="AU411" s="192"/>
      <c r="AV411" s="192"/>
      <c r="AW411" s="195">
        <v>101</v>
      </c>
      <c r="AX411" s="196">
        <f t="shared" ref="AX411" si="5240">IF(AX412=0,0,AW411+1)</f>
        <v>102</v>
      </c>
      <c r="AY411" s="196">
        <f t="shared" ref="AY411" si="5241">IF(AY412=0,0,AX411+1)</f>
        <v>103</v>
      </c>
      <c r="AZ411" s="196">
        <f t="shared" ref="AZ411" si="5242">IF(AZ412=0,0,AY411+1)</f>
        <v>104</v>
      </c>
      <c r="BA411" s="196">
        <f t="shared" ref="BA411" si="5243">IF(BA412=0,0,AZ411+1)</f>
        <v>105</v>
      </c>
      <c r="BB411" s="196">
        <f t="shared" ref="BB411" si="5244">IF(BB412=0,0,BA411+1)</f>
        <v>106</v>
      </c>
      <c r="BC411" s="196">
        <f t="shared" ref="BC411" si="5245">IF(BC412=0,0,BB411+1)</f>
        <v>107</v>
      </c>
      <c r="BD411" s="196">
        <f t="shared" ref="BD411" si="5246">IF(BD412=0,0,BC411+1)</f>
        <v>108</v>
      </c>
      <c r="BE411" s="196">
        <f t="shared" ref="BE411" si="5247">IF(BE412=0,0,BD411+1)</f>
        <v>109</v>
      </c>
      <c r="BF411" s="196">
        <f t="shared" ref="BF411" si="5248">IF(BF412=0,0,BE411+1)</f>
        <v>110</v>
      </c>
      <c r="BG411" s="196">
        <f t="shared" ref="BG411" si="5249">IF(BG412=0,0,BF411+1)</f>
        <v>111</v>
      </c>
      <c r="BH411" s="196">
        <f t="shared" ref="BH411" si="5250">IF(BH412=0,0,BG411+1)</f>
        <v>112</v>
      </c>
      <c r="BI411" s="196">
        <f t="shared" ref="BI411" si="5251">IF(BI412=0,0,BH411+1)</f>
        <v>113</v>
      </c>
      <c r="BJ411" s="196">
        <f t="shared" ref="BJ411" si="5252">IF(BJ412=0,0,BI411+1)</f>
        <v>114</v>
      </c>
      <c r="BK411" s="196">
        <f t="shared" ref="BK411" si="5253">IF(BK412=0,0,BJ411+1)</f>
        <v>115</v>
      </c>
    </row>
    <row r="412" spans="1:63" ht="7.8" x14ac:dyDescent="0.15">
      <c r="A412" s="216" t="s">
        <v>178</v>
      </c>
      <c r="B412" s="192"/>
      <c r="C412" s="192"/>
      <c r="D412" s="192"/>
      <c r="E412" s="192"/>
      <c r="F412" s="192"/>
      <c r="G412" s="192"/>
      <c r="H412" s="192"/>
      <c r="I412" s="192"/>
      <c r="J412" s="192"/>
      <c r="K412" s="192"/>
      <c r="L412" s="192"/>
      <c r="M412" s="192"/>
      <c r="N412" s="192"/>
      <c r="O412" s="192"/>
      <c r="P412" s="192"/>
      <c r="Q412" s="192"/>
      <c r="R412" s="192"/>
      <c r="S412" s="192"/>
      <c r="T412" s="192"/>
      <c r="U412" s="192"/>
      <c r="V412" s="192"/>
      <c r="W412" s="192"/>
      <c r="X412" s="192"/>
      <c r="Y412" s="192"/>
      <c r="Z412" s="192"/>
      <c r="AA412" s="192"/>
      <c r="AB412" s="192"/>
      <c r="AC412" s="192"/>
      <c r="AD412" s="192"/>
      <c r="AE412" s="192"/>
      <c r="AF412" s="192"/>
      <c r="AG412" s="192"/>
      <c r="AH412" s="192"/>
      <c r="AI412" s="192"/>
      <c r="AJ412" s="192"/>
      <c r="AK412" s="192"/>
      <c r="AL412" s="192"/>
      <c r="AM412" s="192"/>
      <c r="AN412" s="192"/>
      <c r="AO412" s="192"/>
      <c r="AP412" s="192"/>
      <c r="AQ412" s="192"/>
      <c r="AR412" s="192"/>
      <c r="AS412" s="192"/>
      <c r="AT412" s="192"/>
      <c r="AU412" s="192"/>
      <c r="AV412" s="192"/>
      <c r="AW412" s="217">
        <f>LoanSize</f>
        <v>25</v>
      </c>
      <c r="AX412" s="215">
        <f>IF(AW412-AW415&lt;=0.1,0,AW412-AW415)</f>
        <v>23.79027212253634</v>
      </c>
      <c r="AY412" s="215">
        <f t="shared" ref="AY412:BK412" si="5254">IF(AX412-AX415&lt;=0.1,0,AX412-AX415)</f>
        <v>22.56189427362845</v>
      </c>
      <c r="AZ412" s="215">
        <f t="shared" si="5254"/>
        <v>21.314578932883229</v>
      </c>
      <c r="BA412" s="215">
        <f t="shared" si="5254"/>
        <v>20.048034147301522</v>
      </c>
      <c r="BB412" s="215">
        <f t="shared" si="5254"/>
        <v>18.761963462942095</v>
      </c>
      <c r="BC412" s="215">
        <f t="shared" si="5254"/>
        <v>17.456065855532128</v>
      </c>
      <c r="BD412" s="215">
        <f t="shared" si="5254"/>
        <v>16.130035660007923</v>
      </c>
      <c r="BE412" s="215">
        <f t="shared" si="5254"/>
        <v>14.783562498969387</v>
      </c>
      <c r="BF412" s="215">
        <f t="shared" si="5254"/>
        <v>13.416331210031506</v>
      </c>
      <c r="BG412" s="215">
        <f t="shared" si="5254"/>
        <v>12.028021772055833</v>
      </c>
      <c r="BH412" s="215">
        <f t="shared" si="5254"/>
        <v>10.618309230244702</v>
      </c>
      <c r="BI412" s="215">
        <f t="shared" si="5254"/>
        <v>9.1868636200806488</v>
      </c>
      <c r="BJ412" s="215">
        <f t="shared" si="5254"/>
        <v>7.7333498900932334</v>
      </c>
      <c r="BK412" s="215">
        <f t="shared" si="5254"/>
        <v>6.2574278234351794</v>
      </c>
    </row>
    <row r="413" spans="1:63" ht="7.8" x14ac:dyDescent="0.15">
      <c r="A413" s="218" t="s">
        <v>179</v>
      </c>
      <c r="B413" s="192"/>
      <c r="C413" s="192"/>
      <c r="D413" s="192"/>
      <c r="E413" s="192"/>
      <c r="F413" s="192"/>
      <c r="G413" s="192"/>
      <c r="H413" s="192"/>
      <c r="I413" s="192"/>
      <c r="J413" s="192"/>
      <c r="K413" s="192"/>
      <c r="L413" s="192"/>
      <c r="M413" s="192"/>
      <c r="N413" s="192"/>
      <c r="O413" s="192"/>
      <c r="P413" s="192"/>
      <c r="Q413" s="192"/>
      <c r="R413" s="192"/>
      <c r="S413" s="192"/>
      <c r="T413" s="192"/>
      <c r="U413" s="192"/>
      <c r="V413" s="192"/>
      <c r="W413" s="192"/>
      <c r="X413" s="192"/>
      <c r="Y413" s="192"/>
      <c r="Z413" s="192"/>
      <c r="AA413" s="192"/>
      <c r="AB413" s="192"/>
      <c r="AC413" s="192"/>
      <c r="AD413" s="192"/>
      <c r="AE413" s="192"/>
      <c r="AF413" s="192"/>
      <c r="AG413" s="192"/>
      <c r="AH413" s="192"/>
      <c r="AI413" s="192"/>
      <c r="AJ413" s="192"/>
      <c r="AK413" s="192"/>
      <c r="AL413" s="192"/>
      <c r="AM413" s="192"/>
      <c r="AN413" s="192"/>
      <c r="AO413" s="192"/>
      <c r="AP413" s="192"/>
      <c r="AQ413" s="192"/>
      <c r="AR413" s="192"/>
      <c r="AS413" s="192"/>
      <c r="AT413" s="192"/>
      <c r="AU413" s="192"/>
      <c r="AV413" s="192"/>
      <c r="AW413" s="219">
        <f>IF(AW412=0,0,PMT(INDEX(LoanCohortRate,1),LoanTerm, -LoanSize))</f>
        <v>1.5951445441303251</v>
      </c>
      <c r="AX413" s="222">
        <f t="shared" ref="AX413" si="5255">IF(AX412=0,0, AW413)</f>
        <v>1.5951445441303251</v>
      </c>
      <c r="AY413" s="222">
        <f t="shared" ref="AY413" si="5256">IF(AY412=0,0, AX413)</f>
        <v>1.5951445441303251</v>
      </c>
      <c r="AZ413" s="222">
        <f t="shared" ref="AZ413" si="5257">IF(AZ412=0,0, AY413)</f>
        <v>1.5951445441303251</v>
      </c>
      <c r="BA413" s="222">
        <f t="shared" ref="BA413" si="5258">IF(BA412=0,0, AZ413)</f>
        <v>1.5951445441303251</v>
      </c>
      <c r="BB413" s="222">
        <f t="shared" ref="BB413" si="5259">IF(BB412=0,0, BA413)</f>
        <v>1.5951445441303251</v>
      </c>
      <c r="BC413" s="222">
        <f t="shared" ref="BC413" si="5260">IF(BC412=0,0, BB413)</f>
        <v>1.5951445441303251</v>
      </c>
      <c r="BD413" s="222">
        <f t="shared" ref="BD413" si="5261">IF(BD412=0,0, BC413)</f>
        <v>1.5951445441303251</v>
      </c>
      <c r="BE413" s="222">
        <f t="shared" ref="BE413" si="5262">IF(BE412=0,0, BD413)</f>
        <v>1.5951445441303251</v>
      </c>
      <c r="BF413" s="222">
        <f t="shared" ref="BF413" si="5263">IF(BF412=0,0, BE413)</f>
        <v>1.5951445441303251</v>
      </c>
      <c r="BG413" s="222">
        <f t="shared" ref="BG413" si="5264">IF(BG412=0,0, BF413)</f>
        <v>1.5951445441303251</v>
      </c>
      <c r="BH413" s="222">
        <f t="shared" ref="BH413" si="5265">IF(BH412=0,0, BG413)</f>
        <v>1.5951445441303251</v>
      </c>
      <c r="BI413" s="222">
        <f t="shared" ref="BI413" si="5266">IF(BI412=0,0, BH413)</f>
        <v>1.5951445441303251</v>
      </c>
      <c r="BJ413" s="222">
        <f t="shared" ref="BJ413" si="5267">IF(BJ412=0,0, BI413)</f>
        <v>1.5951445441303251</v>
      </c>
      <c r="BK413" s="222">
        <f t="shared" ref="BK413" si="5268">IF(BK412=0,0, BJ413)</f>
        <v>1.5951445441303251</v>
      </c>
    </row>
    <row r="414" spans="1:63" ht="7.8" x14ac:dyDescent="0.15">
      <c r="A414" s="218" t="s">
        <v>180</v>
      </c>
      <c r="B414" s="192"/>
      <c r="C414" s="192"/>
      <c r="D414" s="192"/>
      <c r="E414" s="192"/>
      <c r="F414" s="192"/>
      <c r="G414" s="192"/>
      <c r="H414" s="192"/>
      <c r="I414" s="192"/>
      <c r="J414" s="192"/>
      <c r="K414" s="192"/>
      <c r="L414" s="192"/>
      <c r="M414" s="192"/>
      <c r="N414" s="192"/>
      <c r="O414" s="192"/>
      <c r="P414" s="192"/>
      <c r="Q414" s="192"/>
      <c r="R414" s="192"/>
      <c r="S414" s="192"/>
      <c r="T414" s="192"/>
      <c r="U414" s="192"/>
      <c r="V414" s="192"/>
      <c r="W414" s="192"/>
      <c r="X414" s="192"/>
      <c r="Y414" s="192"/>
      <c r="Z414" s="192"/>
      <c r="AA414" s="192"/>
      <c r="AB414" s="192"/>
      <c r="AC414" s="192"/>
      <c r="AD414" s="192"/>
      <c r="AE414" s="192"/>
      <c r="AF414" s="192"/>
      <c r="AG414" s="192"/>
      <c r="AH414" s="192"/>
      <c r="AI414" s="192"/>
      <c r="AJ414" s="192"/>
      <c r="AK414" s="192"/>
      <c r="AL414" s="192"/>
      <c r="AM414" s="192"/>
      <c r="AN414" s="192"/>
      <c r="AO414" s="192"/>
      <c r="AP414" s="192"/>
      <c r="AQ414" s="192"/>
      <c r="AR414" s="192"/>
      <c r="AS414" s="192"/>
      <c r="AT414" s="192"/>
      <c r="AU414" s="192"/>
      <c r="AV414" s="192"/>
      <c r="AW414" s="220" cm="1">
        <f t="array" ref="AW414">AW412*INDEX(LoanCohortRate,$A411)</f>
        <v>0.38541666666666669</v>
      </c>
      <c r="AX414" s="221" cm="1">
        <f t="array" ref="AX414">AX412*INDEX(LoanCohortRate,$A411)</f>
        <v>0.36676669522243527</v>
      </c>
      <c r="AY414" s="221" cm="1">
        <f t="array" ref="AY414">AY412*INDEX(LoanCohortRate,$A411)</f>
        <v>0.34782920338510526</v>
      </c>
      <c r="AZ414" s="221" cm="1">
        <f t="array" ref="AZ414">AZ412*INDEX(LoanCohortRate,$A411)</f>
        <v>0.32859975854861645</v>
      </c>
      <c r="BA414" s="221" cm="1">
        <f t="array" ref="BA414">BA412*INDEX(LoanCohortRate,$A411)</f>
        <v>0.30907385977089846</v>
      </c>
      <c r="BB414" s="221" cm="1">
        <f t="array" ref="BB414">BB412*INDEX(LoanCohortRate,$A411)</f>
        <v>0.28924693672035728</v>
      </c>
      <c r="BC414" s="221" cm="1">
        <f t="array" ref="BC414">BC412*INDEX(LoanCohortRate,$A411)</f>
        <v>0.26911434860612032</v>
      </c>
      <c r="BD414" s="221" cm="1">
        <f t="array" ref="BD414">BD412*INDEX(LoanCohortRate,$A411)</f>
        <v>0.24867138309178882</v>
      </c>
      <c r="BE414" s="221" cm="1">
        <f t="array" ref="BE414">BE412*INDEX(LoanCohortRate,$A411)</f>
        <v>0.22791325519244471</v>
      </c>
      <c r="BF414" s="221" cm="1">
        <f t="array" ref="BF414">BF412*INDEX(LoanCohortRate,$A411)</f>
        <v>0.20683510615465239</v>
      </c>
      <c r="BG414" s="221" cm="1">
        <f t="array" ref="BG414">BG412*INDEX(LoanCohortRate,$A411)</f>
        <v>0.1854320023191941</v>
      </c>
      <c r="BH414" s="221" cm="1">
        <f t="array" ref="BH414">BH412*INDEX(LoanCohortRate,$A411)</f>
        <v>0.1636989339662725</v>
      </c>
      <c r="BI414" s="221" cm="1">
        <f t="array" ref="BI414">BI412*INDEX(LoanCohortRate,$A411)</f>
        <v>0.14163081414291001</v>
      </c>
      <c r="BJ414" s="221" cm="1">
        <f t="array" ref="BJ414">BJ412*INDEX(LoanCohortRate,$A411)</f>
        <v>0.11922247747227069</v>
      </c>
      <c r="BK414" s="221" cm="1">
        <f t="array" ref="BK414">BK412*INDEX(LoanCohortRate,$A411)</f>
        <v>9.6468678944625685E-2</v>
      </c>
    </row>
    <row r="415" spans="1:63" ht="7.8" x14ac:dyDescent="0.15">
      <c r="A415" s="218" t="s">
        <v>177</v>
      </c>
      <c r="B415" s="192"/>
      <c r="C415" s="192"/>
      <c r="D415" s="192"/>
      <c r="E415" s="192"/>
      <c r="F415" s="192"/>
      <c r="G415" s="192"/>
      <c r="H415" s="192"/>
      <c r="I415" s="192"/>
      <c r="J415" s="192"/>
      <c r="K415" s="192"/>
      <c r="L415" s="192"/>
      <c r="M415" s="192"/>
      <c r="N415" s="192"/>
      <c r="O415" s="192"/>
      <c r="P415" s="192"/>
      <c r="Q415" s="192"/>
      <c r="R415" s="192"/>
      <c r="S415" s="192"/>
      <c r="T415" s="192"/>
      <c r="U415" s="192"/>
      <c r="V415" s="192"/>
      <c r="W415" s="192"/>
      <c r="X415" s="192"/>
      <c r="Y415" s="192"/>
      <c r="Z415" s="192"/>
      <c r="AA415" s="192"/>
      <c r="AB415" s="192"/>
      <c r="AC415" s="192"/>
      <c r="AD415" s="192"/>
      <c r="AE415" s="192"/>
      <c r="AF415" s="192"/>
      <c r="AG415" s="192"/>
      <c r="AH415" s="192"/>
      <c r="AI415" s="192"/>
      <c r="AJ415" s="192"/>
      <c r="AK415" s="192"/>
      <c r="AL415" s="192"/>
      <c r="AM415" s="192"/>
      <c r="AN415" s="192"/>
      <c r="AO415" s="192"/>
      <c r="AP415" s="192"/>
      <c r="AQ415" s="192"/>
      <c r="AR415" s="192"/>
      <c r="AS415" s="192"/>
      <c r="AT415" s="192"/>
      <c r="AU415" s="192"/>
      <c r="AV415" s="192"/>
      <c r="AW415" s="219">
        <f>AW413-AW414</f>
        <v>1.2097278774636584</v>
      </c>
      <c r="AX415" s="222">
        <f t="shared" ref="AX415:BK415" si="5269">AX413-AX414</f>
        <v>1.2283778489078898</v>
      </c>
      <c r="AY415" s="222">
        <f t="shared" si="5269"/>
        <v>1.24731534074522</v>
      </c>
      <c r="AZ415" s="222">
        <f t="shared" si="5269"/>
        <v>1.2665447855817087</v>
      </c>
      <c r="BA415" s="222">
        <f t="shared" si="5269"/>
        <v>1.2860706843594267</v>
      </c>
      <c r="BB415" s="222">
        <f t="shared" si="5269"/>
        <v>1.305897607409968</v>
      </c>
      <c r="BC415" s="222">
        <f t="shared" si="5269"/>
        <v>1.3260301955242049</v>
      </c>
      <c r="BD415" s="222">
        <f t="shared" si="5269"/>
        <v>1.3464731610385363</v>
      </c>
      <c r="BE415" s="222">
        <f t="shared" si="5269"/>
        <v>1.3672312889378804</v>
      </c>
      <c r="BF415" s="222">
        <f t="shared" si="5269"/>
        <v>1.3883094379756726</v>
      </c>
      <c r="BG415" s="222">
        <f t="shared" si="5269"/>
        <v>1.4097125418111309</v>
      </c>
      <c r="BH415" s="222">
        <f t="shared" si="5269"/>
        <v>1.4314456101640527</v>
      </c>
      <c r="BI415" s="222">
        <f t="shared" si="5269"/>
        <v>1.453513729987415</v>
      </c>
      <c r="BJ415" s="222">
        <f t="shared" si="5269"/>
        <v>1.4759220666580544</v>
      </c>
      <c r="BK415" s="222">
        <f t="shared" si="5269"/>
        <v>1.4986758651856995</v>
      </c>
    </row>
    <row r="416" spans="1:63" ht="7.8" x14ac:dyDescent="0.15">
      <c r="A416" s="205" t="s">
        <v>7</v>
      </c>
      <c r="B416" s="192"/>
      <c r="C416" s="192"/>
      <c r="D416" s="192"/>
      <c r="E416" s="192"/>
      <c r="F416" s="192"/>
      <c r="G416" s="192"/>
      <c r="H416" s="192"/>
      <c r="I416" s="192"/>
      <c r="J416" s="192"/>
      <c r="K416" s="192"/>
      <c r="L416" s="192"/>
      <c r="M416" s="192"/>
      <c r="N416" s="192"/>
      <c r="O416" s="192"/>
      <c r="P416" s="192"/>
      <c r="Q416" s="192"/>
      <c r="R416" s="192"/>
      <c r="S416" s="192"/>
      <c r="T416" s="192"/>
      <c r="U416" s="192"/>
      <c r="V416" s="192"/>
      <c r="W416" s="192"/>
      <c r="X416" s="192"/>
      <c r="Y416" s="192"/>
      <c r="Z416" s="192"/>
      <c r="AA416" s="192"/>
      <c r="AB416" s="192"/>
      <c r="AC416" s="192"/>
      <c r="AD416" s="192"/>
      <c r="AE416" s="192"/>
      <c r="AF416" s="192"/>
      <c r="AG416" s="192"/>
      <c r="AH416" s="192"/>
      <c r="AI416" s="192"/>
      <c r="AJ416" s="192"/>
      <c r="AK416" s="192"/>
      <c r="AL416" s="192"/>
      <c r="AM416" s="192"/>
      <c r="AN416" s="192"/>
      <c r="AO416" s="192"/>
      <c r="AP416" s="192"/>
      <c r="AQ416" s="192"/>
      <c r="AR416" s="192"/>
      <c r="AS416" s="192"/>
      <c r="AT416" s="192"/>
      <c r="AU416" s="192"/>
      <c r="AV416" s="192"/>
      <c r="AW416" s="214" cm="1">
        <f t="array" ref="AW416">INDEX(LoanOriginations,$A411)</f>
        <v>125.16208207696769</v>
      </c>
      <c r="AX416" s="199">
        <f t="shared" ref="AX416:BK416" si="5270">AW416*(1-MitigateDelinquency*MitigateChargeoff)  *  IF(AX411=0,0,IF(AX411-102=LoanSaleHeld,0.6,1))</f>
        <v>125.03691999489072</v>
      </c>
      <c r="AY416" s="199">
        <f t="shared" si="5270"/>
        <v>124.91188307489583</v>
      </c>
      <c r="AZ416" s="199">
        <f t="shared" si="5270"/>
        <v>124.78697119182092</v>
      </c>
      <c r="BA416" s="199">
        <f t="shared" si="5270"/>
        <v>74.797310532377452</v>
      </c>
      <c r="BB416" s="199">
        <f t="shared" si="5270"/>
        <v>74.722513221845077</v>
      </c>
      <c r="BC416" s="199">
        <f t="shared" si="5270"/>
        <v>74.647790708623234</v>
      </c>
      <c r="BD416" s="199">
        <f t="shared" si="5270"/>
        <v>74.573142917914609</v>
      </c>
      <c r="BE416" s="199">
        <f t="shared" si="5270"/>
        <v>74.498569774996696</v>
      </c>
      <c r="BF416" s="199">
        <f t="shared" si="5270"/>
        <v>74.424071205221694</v>
      </c>
      <c r="BG416" s="199">
        <f t="shared" si="5270"/>
        <v>74.349647134016479</v>
      </c>
      <c r="BH416" s="199">
        <f t="shared" si="5270"/>
        <v>74.275297486882465</v>
      </c>
      <c r="BI416" s="199">
        <f t="shared" si="5270"/>
        <v>74.201022189395587</v>
      </c>
      <c r="BJ416" s="199">
        <f t="shared" si="5270"/>
        <v>74.126821167206188</v>
      </c>
      <c r="BK416" s="199">
        <f t="shared" si="5270"/>
        <v>74.052694346038976</v>
      </c>
    </row>
    <row r="417" spans="1:63" ht="7.8" x14ac:dyDescent="0.15">
      <c r="A417" s="207" t="s">
        <v>96</v>
      </c>
      <c r="B417" s="192"/>
      <c r="C417" s="192"/>
      <c r="D417" s="192"/>
      <c r="E417" s="192"/>
      <c r="F417" s="192"/>
      <c r="G417" s="192"/>
      <c r="H417" s="192"/>
      <c r="I417" s="192"/>
      <c r="J417" s="192"/>
      <c r="K417" s="192"/>
      <c r="L417" s="192"/>
      <c r="M417" s="192"/>
      <c r="N417" s="192"/>
      <c r="O417" s="192"/>
      <c r="P417" s="192"/>
      <c r="Q417" s="192"/>
      <c r="R417" s="192"/>
      <c r="S417" s="192"/>
      <c r="T417" s="192"/>
      <c r="U417" s="192"/>
      <c r="V417" s="192"/>
      <c r="W417" s="192"/>
      <c r="X417" s="192"/>
      <c r="Y417" s="192"/>
      <c r="Z417" s="192"/>
      <c r="AA417" s="192"/>
      <c r="AB417" s="192"/>
      <c r="AC417" s="192"/>
      <c r="AD417" s="192"/>
      <c r="AE417" s="192"/>
      <c r="AF417" s="192"/>
      <c r="AG417" s="192"/>
      <c r="AH417" s="192"/>
      <c r="AI417" s="192"/>
      <c r="AJ417" s="192"/>
      <c r="AK417" s="192"/>
      <c r="AL417" s="192"/>
      <c r="AM417" s="192"/>
      <c r="AN417" s="192"/>
      <c r="AO417" s="192"/>
      <c r="AP417" s="192"/>
      <c r="AQ417" s="192"/>
      <c r="AR417" s="192"/>
      <c r="AS417" s="192"/>
      <c r="AT417" s="192"/>
      <c r="AU417" s="192"/>
      <c r="AV417" s="192"/>
      <c r="AW417" s="223">
        <f>AW414*AW416</f>
        <v>48.239552467164636</v>
      </c>
      <c r="AX417" s="200">
        <f t="shared" ref="AX417" si="5271">AX414*AX416</f>
        <v>45.859377927318107</v>
      </c>
      <c r="AY417" s="200">
        <f t="shared" ref="AY417" si="5272">AY414*AY416</f>
        <v>43.448000783274431</v>
      </c>
      <c r="AZ417" s="200">
        <f t="shared" ref="AZ417" si="5273">AZ414*AZ416</f>
        <v>41.004968603645516</v>
      </c>
      <c r="BA417" s="200">
        <f t="shared" ref="BA417" si="5274">BA414*BA416</f>
        <v>23.117893466724375</v>
      </c>
      <c r="BB417" s="200">
        <f t="shared" ref="BB417" si="5275">BB414*BB416</f>
        <v>21.613258053465085</v>
      </c>
      <c r="BC417" s="200">
        <f t="shared" ref="BC417" si="5276">BC414*BC416</f>
        <v>20.088791571437142</v>
      </c>
      <c r="BD417" s="200">
        <f t="shared" ref="BD417" si="5277">BD414*BD416</f>
        <v>18.544206590899464</v>
      </c>
      <c r="BE417" s="200">
        <f t="shared" ref="BE417" si="5278">BE414*BE416</f>
        <v>16.979211544600972</v>
      </c>
      <c r="BF417" s="200">
        <f t="shared" ref="BF417" si="5279">BF414*BF416</f>
        <v>15.393510668193437</v>
      </c>
      <c r="BG417" s="200">
        <f t="shared" ref="BG417" si="5280">BG414*BG416</f>
        <v>13.786803939786207</v>
      </c>
      <c r="BH417" s="200">
        <f t="shared" ref="BH417" si="5281">BH414*BH416</f>
        <v>12.158787018630418</v>
      </c>
      <c r="BI417" s="200">
        <f t="shared" ref="BI417" si="5282">BI414*BI416</f>
        <v>10.509151182920228</v>
      </c>
      <c r="BJ417" s="200">
        <f t="shared" ref="BJ417" si="5283">BJ414*BJ416</f>
        <v>8.8375832666982781</v>
      </c>
      <c r="BK417" s="200">
        <f t="shared" ref="BK417" si="5284">BK414*BK416</f>
        <v>7.1437655958525319</v>
      </c>
    </row>
    <row r="418" spans="1:63" ht="7.8" x14ac:dyDescent="0.15">
      <c r="A418" s="206" t="s">
        <v>97</v>
      </c>
      <c r="B418" s="192"/>
      <c r="C418" s="192"/>
      <c r="D418" s="192"/>
      <c r="E418" s="192"/>
      <c r="F418" s="192"/>
      <c r="G418" s="192"/>
      <c r="H418" s="192"/>
      <c r="I418" s="192"/>
      <c r="J418" s="192"/>
      <c r="K418" s="192"/>
      <c r="L418" s="192"/>
      <c r="M418" s="192"/>
      <c r="N418" s="192"/>
      <c r="O418" s="192"/>
      <c r="P418" s="192"/>
      <c r="Q418" s="192"/>
      <c r="R418" s="192"/>
      <c r="S418" s="192"/>
      <c r="T418" s="192"/>
      <c r="U418" s="192"/>
      <c r="V418" s="192"/>
      <c r="W418" s="192"/>
      <c r="X418" s="192"/>
      <c r="Y418" s="192"/>
      <c r="Z418" s="192"/>
      <c r="AA418" s="192"/>
      <c r="AB418" s="192"/>
      <c r="AC418" s="192"/>
      <c r="AD418" s="192"/>
      <c r="AE418" s="192"/>
      <c r="AF418" s="192"/>
      <c r="AG418" s="192"/>
      <c r="AH418" s="192"/>
      <c r="AI418" s="192"/>
      <c r="AJ418" s="192"/>
      <c r="AK418" s="192"/>
      <c r="AL418" s="192"/>
      <c r="AM418" s="192"/>
      <c r="AN418" s="192"/>
      <c r="AO418" s="192"/>
      <c r="AP418" s="192"/>
      <c r="AQ418" s="192"/>
      <c r="AR418" s="192"/>
      <c r="AS418" s="192"/>
      <c r="AT418" s="192"/>
      <c r="AU418" s="192"/>
      <c r="AV418" s="192"/>
      <c r="AW418" s="223">
        <f>AW415*AW416</f>
        <v>151.41205988990234</v>
      </c>
      <c r="AX418" s="200">
        <f>AX415*AX416</f>
        <v>153.59258281739179</v>
      </c>
      <c r="AY418" s="200">
        <f t="shared" ref="AY418:BK418" si="5285">AY415*AY416</f>
        <v>155.80450800069076</v>
      </c>
      <c r="AZ418" s="200">
        <f t="shared" si="5285"/>
        <v>158.04828767153569</v>
      </c>
      <c r="BA418" s="200">
        <f t="shared" si="5285"/>
        <v>96.194628344619233</v>
      </c>
      <c r="BB418" s="200">
        <f t="shared" si="5285"/>
        <v>97.579951236067188</v>
      </c>
      <c r="BC418" s="200">
        <f t="shared" si="5285"/>
        <v>98.985224508805587</v>
      </c>
      <c r="BD418" s="200">
        <f t="shared" si="5285"/>
        <v>100.41073547326302</v>
      </c>
      <c r="BE418" s="200">
        <f t="shared" si="5285"/>
        <v>101.85677557749734</v>
      </c>
      <c r="BF418" s="200">
        <f t="shared" si="5285"/>
        <v>103.32364046678278</v>
      </c>
      <c r="BG418" s="200">
        <f t="shared" si="5285"/>
        <v>104.81163004405504</v>
      </c>
      <c r="BH418" s="200">
        <f t="shared" si="5285"/>
        <v>106.32104853122701</v>
      </c>
      <c r="BI418" s="200">
        <f t="shared" si="5285"/>
        <v>107.85220453138733</v>
      </c>
      <c r="BJ418" s="200">
        <f t="shared" si="5285"/>
        <v>109.40541109189496</v>
      </c>
      <c r="BK418" s="200">
        <f t="shared" si="5285"/>
        <v>110.98098576838213</v>
      </c>
    </row>
    <row r="419" spans="1:63" ht="7.8" x14ac:dyDescent="0.15">
      <c r="A419" s="208" t="s">
        <v>203</v>
      </c>
      <c r="B419" s="192"/>
      <c r="C419" s="192"/>
      <c r="D419" s="192"/>
      <c r="E419" s="192"/>
      <c r="F419" s="192"/>
      <c r="G419" s="192"/>
      <c r="H419" s="192"/>
      <c r="I419" s="192"/>
      <c r="J419" s="192"/>
      <c r="K419" s="192"/>
      <c r="L419" s="192"/>
      <c r="M419" s="192"/>
      <c r="N419" s="192"/>
      <c r="O419" s="192"/>
      <c r="P419" s="192"/>
      <c r="Q419" s="192"/>
      <c r="R419" s="192"/>
      <c r="S419" s="192"/>
      <c r="T419" s="192"/>
      <c r="U419" s="192"/>
      <c r="V419" s="192"/>
      <c r="W419" s="192"/>
      <c r="X419" s="192"/>
      <c r="Y419" s="192"/>
      <c r="Z419" s="192"/>
      <c r="AA419" s="192"/>
      <c r="AB419" s="192"/>
      <c r="AC419" s="192"/>
      <c r="AD419" s="192"/>
      <c r="AE419" s="192"/>
      <c r="AF419" s="192"/>
      <c r="AG419" s="192"/>
      <c r="AH419" s="192"/>
      <c r="AI419" s="192"/>
      <c r="AJ419" s="192"/>
      <c r="AK419" s="192"/>
      <c r="AL419" s="192"/>
      <c r="AM419" s="192"/>
      <c r="AN419" s="192"/>
      <c r="AO419" s="192"/>
      <c r="AP419" s="192"/>
      <c r="AQ419" s="192"/>
      <c r="AR419" s="192"/>
      <c r="AS419" s="192"/>
      <c r="AT419" s="192"/>
      <c r="AU419" s="192"/>
      <c r="AV419" s="192"/>
      <c r="AW419" s="224">
        <f>IF(AW411-101&lt;&gt;LoanSaleHeld,0,SUM($D418:AW418)*LoanSalePercent)</f>
        <v>0</v>
      </c>
      <c r="AX419" s="225">
        <f>IF(AX411-101&lt;&gt;LoanSaleHeld,0,SUM($D418:AX418)*LoanSalePercent)</f>
        <v>0</v>
      </c>
      <c r="AY419" s="225">
        <f>IF(AY411-101&lt;&gt;LoanSaleHeld,0,SUM($D418:AY418)*LoanSalePercent)</f>
        <v>0</v>
      </c>
      <c r="AZ419" s="225">
        <f>IF(AZ411-101&lt;&gt;LoanSaleHeld,0,SUM($D418:AZ418)*LoanSalePercent)</f>
        <v>247.54297535180822</v>
      </c>
      <c r="BA419" s="225">
        <f>IF(BA411-101&lt;&gt;LoanSaleHeld,0,SUM($D418:BA418)*LoanSalePercent)</f>
        <v>0</v>
      </c>
      <c r="BB419" s="225">
        <f>IF(BB411-101&lt;&gt;LoanSaleHeld,0,SUM($D418:BB418)*LoanSalePercent)</f>
        <v>0</v>
      </c>
      <c r="BC419" s="225">
        <f>IF(BC411-101&lt;&gt;LoanSaleHeld,0,SUM($D418:BC418)*LoanSalePercent)</f>
        <v>0</v>
      </c>
      <c r="BD419" s="225">
        <f>IF(BD411-101&lt;&gt;LoanSaleHeld,0,SUM($D418:BD418)*LoanSalePercent)</f>
        <v>0</v>
      </c>
      <c r="BE419" s="225">
        <f>IF(BE411-101&lt;&gt;LoanSaleHeld,0,SUM($D418:BE418)*LoanSalePercent)</f>
        <v>0</v>
      </c>
      <c r="BF419" s="225">
        <f>IF(BF411-101&lt;&gt;LoanSaleHeld,0,SUM($D418:BF418)*LoanSalePercent)</f>
        <v>0</v>
      </c>
      <c r="BG419" s="225">
        <f>IF(BG411-101&lt;&gt;LoanSaleHeld,0,SUM($D418:BG418)*LoanSalePercent)</f>
        <v>0</v>
      </c>
      <c r="BH419" s="225">
        <f>IF(BH411-101&lt;&gt;LoanSaleHeld,0,SUM($D418:BH418)*LoanSalePercent)</f>
        <v>0</v>
      </c>
      <c r="BI419" s="225">
        <f>IF(BI411-101&lt;&gt;LoanSaleHeld,0,SUM($D418:BI418)*LoanSalePercent)</f>
        <v>0</v>
      </c>
      <c r="BJ419" s="225">
        <f>IF(BJ411-101&lt;&gt;LoanSaleHeld,0,SUM($D418:BJ418)*LoanSalePercent)</f>
        <v>0</v>
      </c>
      <c r="BK419" s="225">
        <f>IF(BK411-101&lt;&gt;LoanSaleHeld,0,SUM($D418:BK418)*LoanSalePercent)</f>
        <v>0</v>
      </c>
    </row>
    <row r="420" spans="1:63" ht="7.8" x14ac:dyDescent="0.15">
      <c r="A420" s="204">
        <f t="shared" ref="A420" si="5286">A411+1</f>
        <v>47</v>
      </c>
      <c r="B420" s="192"/>
      <c r="C420" s="192"/>
      <c r="D420" s="192"/>
      <c r="E420" s="192"/>
      <c r="F420" s="192"/>
      <c r="G420" s="192"/>
      <c r="H420" s="192"/>
      <c r="I420" s="192"/>
      <c r="J420" s="192"/>
      <c r="K420" s="192"/>
      <c r="L420" s="192"/>
      <c r="M420" s="192"/>
      <c r="N420" s="192"/>
      <c r="O420" s="192"/>
      <c r="P420" s="192"/>
      <c r="Q420" s="192"/>
      <c r="R420" s="192"/>
      <c r="S420" s="192"/>
      <c r="T420" s="192"/>
      <c r="U420" s="192"/>
      <c r="V420" s="192"/>
      <c r="W420" s="192"/>
      <c r="X420" s="192"/>
      <c r="Y420" s="192"/>
      <c r="Z420" s="192"/>
      <c r="AA420" s="192"/>
      <c r="AB420" s="192"/>
      <c r="AC420" s="192"/>
      <c r="AD420" s="192"/>
      <c r="AE420" s="192"/>
      <c r="AF420" s="192"/>
      <c r="AG420" s="192"/>
      <c r="AH420" s="192"/>
      <c r="AI420" s="192"/>
      <c r="AJ420" s="192"/>
      <c r="AK420" s="192"/>
      <c r="AL420" s="192"/>
      <c r="AM420" s="192"/>
      <c r="AN420" s="192"/>
      <c r="AO420" s="192"/>
      <c r="AP420" s="192"/>
      <c r="AQ420" s="192"/>
      <c r="AR420" s="192"/>
      <c r="AS420" s="192"/>
      <c r="AT420" s="192"/>
      <c r="AU420" s="192"/>
      <c r="AV420" s="192"/>
      <c r="AW420" s="192"/>
      <c r="AX420" s="195">
        <v>101</v>
      </c>
      <c r="AY420" s="196">
        <f t="shared" ref="AY420" si="5287">IF(AY421=0,0,AX420+1)</f>
        <v>102</v>
      </c>
      <c r="AZ420" s="196">
        <f t="shared" ref="AZ420" si="5288">IF(AZ421=0,0,AY420+1)</f>
        <v>103</v>
      </c>
      <c r="BA420" s="196">
        <f t="shared" ref="BA420" si="5289">IF(BA421=0,0,AZ420+1)</f>
        <v>104</v>
      </c>
      <c r="BB420" s="196">
        <f t="shared" ref="BB420" si="5290">IF(BB421=0,0,BA420+1)</f>
        <v>105</v>
      </c>
      <c r="BC420" s="196">
        <f t="shared" ref="BC420" si="5291">IF(BC421=0,0,BB420+1)</f>
        <v>106</v>
      </c>
      <c r="BD420" s="196">
        <f t="shared" ref="BD420" si="5292">IF(BD421=0,0,BC420+1)</f>
        <v>107</v>
      </c>
      <c r="BE420" s="196">
        <f t="shared" ref="BE420" si="5293">IF(BE421=0,0,BD420+1)</f>
        <v>108</v>
      </c>
      <c r="BF420" s="196">
        <f t="shared" ref="BF420" si="5294">IF(BF421=0,0,BE420+1)</f>
        <v>109</v>
      </c>
      <c r="BG420" s="196">
        <f t="shared" ref="BG420" si="5295">IF(BG421=0,0,BF420+1)</f>
        <v>110</v>
      </c>
      <c r="BH420" s="196">
        <f t="shared" ref="BH420" si="5296">IF(BH421=0,0,BG420+1)</f>
        <v>111</v>
      </c>
      <c r="BI420" s="196">
        <f t="shared" ref="BI420" si="5297">IF(BI421=0,0,BH420+1)</f>
        <v>112</v>
      </c>
      <c r="BJ420" s="196">
        <f t="shared" ref="BJ420" si="5298">IF(BJ421=0,0,BI420+1)</f>
        <v>113</v>
      </c>
      <c r="BK420" s="196">
        <f t="shared" ref="BK420" si="5299">IF(BK421=0,0,BJ420+1)</f>
        <v>114</v>
      </c>
    </row>
    <row r="421" spans="1:63" ht="7.8" x14ac:dyDescent="0.15">
      <c r="A421" s="216" t="s">
        <v>178</v>
      </c>
      <c r="B421" s="192"/>
      <c r="C421" s="192"/>
      <c r="D421" s="192"/>
      <c r="E421" s="192"/>
      <c r="F421" s="192"/>
      <c r="G421" s="192"/>
      <c r="H421" s="192"/>
      <c r="I421" s="192"/>
      <c r="J421" s="192"/>
      <c r="K421" s="192"/>
      <c r="L421" s="192"/>
      <c r="M421" s="192"/>
      <c r="N421" s="192"/>
      <c r="O421" s="192"/>
      <c r="P421" s="192"/>
      <c r="Q421" s="192"/>
      <c r="R421" s="192"/>
      <c r="S421" s="192"/>
      <c r="T421" s="192"/>
      <c r="U421" s="192"/>
      <c r="V421" s="192"/>
      <c r="W421" s="192"/>
      <c r="X421" s="192"/>
      <c r="Y421" s="192"/>
      <c r="Z421" s="192"/>
      <c r="AA421" s="192"/>
      <c r="AB421" s="192"/>
      <c r="AC421" s="192"/>
      <c r="AD421" s="192"/>
      <c r="AE421" s="192"/>
      <c r="AF421" s="192"/>
      <c r="AG421" s="192"/>
      <c r="AH421" s="192"/>
      <c r="AI421" s="192"/>
      <c r="AJ421" s="192"/>
      <c r="AK421" s="192"/>
      <c r="AL421" s="192"/>
      <c r="AM421" s="192"/>
      <c r="AN421" s="192"/>
      <c r="AO421" s="192"/>
      <c r="AP421" s="192"/>
      <c r="AQ421" s="192"/>
      <c r="AR421" s="192"/>
      <c r="AS421" s="192"/>
      <c r="AT421" s="192"/>
      <c r="AU421" s="192"/>
      <c r="AV421" s="192"/>
      <c r="AW421" s="192"/>
      <c r="AX421" s="217">
        <f>LoanSize</f>
        <v>25</v>
      </c>
      <c r="AY421" s="215">
        <f>IF(AX421-AX424&lt;=0.1,0,AX421-AX424)</f>
        <v>23.79027212253634</v>
      </c>
      <c r="AZ421" s="215">
        <f t="shared" ref="AZ421:BK421" si="5300">IF(AY421-AY424&lt;=0.1,0,AY421-AY424)</f>
        <v>22.56189427362845</v>
      </c>
      <c r="BA421" s="215">
        <f t="shared" si="5300"/>
        <v>21.314578932883229</v>
      </c>
      <c r="BB421" s="215">
        <f t="shared" si="5300"/>
        <v>20.048034147301522</v>
      </c>
      <c r="BC421" s="215">
        <f t="shared" si="5300"/>
        <v>18.761963462942095</v>
      </c>
      <c r="BD421" s="215">
        <f t="shared" si="5300"/>
        <v>17.456065855532128</v>
      </c>
      <c r="BE421" s="215">
        <f t="shared" si="5300"/>
        <v>16.130035660007923</v>
      </c>
      <c r="BF421" s="215">
        <f t="shared" si="5300"/>
        <v>14.783562498969387</v>
      </c>
      <c r="BG421" s="215">
        <f t="shared" si="5300"/>
        <v>13.416331210031506</v>
      </c>
      <c r="BH421" s="215">
        <f t="shared" si="5300"/>
        <v>12.028021772055833</v>
      </c>
      <c r="BI421" s="215">
        <f t="shared" si="5300"/>
        <v>10.618309230244702</v>
      </c>
      <c r="BJ421" s="215">
        <f t="shared" si="5300"/>
        <v>9.1868636200806488</v>
      </c>
      <c r="BK421" s="215">
        <f t="shared" si="5300"/>
        <v>7.7333498900932334</v>
      </c>
    </row>
    <row r="422" spans="1:63" ht="7.8" x14ac:dyDescent="0.15">
      <c r="A422" s="218" t="s">
        <v>179</v>
      </c>
      <c r="B422" s="192"/>
      <c r="C422" s="192"/>
      <c r="D422" s="192"/>
      <c r="E422" s="192"/>
      <c r="F422" s="192"/>
      <c r="G422" s="192"/>
      <c r="H422" s="192"/>
      <c r="I422" s="192"/>
      <c r="J422" s="192"/>
      <c r="K422" s="192"/>
      <c r="L422" s="192"/>
      <c r="M422" s="192"/>
      <c r="N422" s="192"/>
      <c r="O422" s="192"/>
      <c r="P422" s="192"/>
      <c r="Q422" s="192"/>
      <c r="R422" s="192"/>
      <c r="S422" s="192"/>
      <c r="T422" s="192"/>
      <c r="U422" s="192"/>
      <c r="V422" s="192"/>
      <c r="W422" s="192"/>
      <c r="X422" s="192"/>
      <c r="Y422" s="192"/>
      <c r="Z422" s="192"/>
      <c r="AA422" s="192"/>
      <c r="AB422" s="192"/>
      <c r="AC422" s="192"/>
      <c r="AD422" s="192"/>
      <c r="AE422" s="192"/>
      <c r="AF422" s="192"/>
      <c r="AG422" s="192"/>
      <c r="AH422" s="192"/>
      <c r="AI422" s="192"/>
      <c r="AJ422" s="192"/>
      <c r="AK422" s="192"/>
      <c r="AL422" s="192"/>
      <c r="AM422" s="192"/>
      <c r="AN422" s="192"/>
      <c r="AO422" s="192"/>
      <c r="AP422" s="192"/>
      <c r="AQ422" s="192"/>
      <c r="AR422" s="192"/>
      <c r="AS422" s="192"/>
      <c r="AT422" s="192"/>
      <c r="AU422" s="192"/>
      <c r="AV422" s="192"/>
      <c r="AW422" s="192"/>
      <c r="AX422" s="219">
        <f>IF(AX421=0,0,PMT(INDEX(LoanCohortRate,1),LoanTerm, -LoanSize))</f>
        <v>1.5951445441303251</v>
      </c>
      <c r="AY422" s="222">
        <f t="shared" ref="AY422" si="5301">IF(AY421=0,0, AX422)</f>
        <v>1.5951445441303251</v>
      </c>
      <c r="AZ422" s="222">
        <f t="shared" ref="AZ422" si="5302">IF(AZ421=0,0, AY422)</f>
        <v>1.5951445441303251</v>
      </c>
      <c r="BA422" s="222">
        <f t="shared" ref="BA422" si="5303">IF(BA421=0,0, AZ422)</f>
        <v>1.5951445441303251</v>
      </c>
      <c r="BB422" s="222">
        <f t="shared" ref="BB422" si="5304">IF(BB421=0,0, BA422)</f>
        <v>1.5951445441303251</v>
      </c>
      <c r="BC422" s="222">
        <f t="shared" ref="BC422" si="5305">IF(BC421=0,0, BB422)</f>
        <v>1.5951445441303251</v>
      </c>
      <c r="BD422" s="222">
        <f t="shared" ref="BD422" si="5306">IF(BD421=0,0, BC422)</f>
        <v>1.5951445441303251</v>
      </c>
      <c r="BE422" s="222">
        <f t="shared" ref="BE422" si="5307">IF(BE421=0,0, BD422)</f>
        <v>1.5951445441303251</v>
      </c>
      <c r="BF422" s="222">
        <f t="shared" ref="BF422" si="5308">IF(BF421=0,0, BE422)</f>
        <v>1.5951445441303251</v>
      </c>
      <c r="BG422" s="222">
        <f t="shared" ref="BG422" si="5309">IF(BG421=0,0, BF422)</f>
        <v>1.5951445441303251</v>
      </c>
      <c r="BH422" s="222">
        <f t="shared" ref="BH422" si="5310">IF(BH421=0,0, BG422)</f>
        <v>1.5951445441303251</v>
      </c>
      <c r="BI422" s="222">
        <f t="shared" ref="BI422" si="5311">IF(BI421=0,0, BH422)</f>
        <v>1.5951445441303251</v>
      </c>
      <c r="BJ422" s="222">
        <f t="shared" ref="BJ422" si="5312">IF(BJ421=0,0, BI422)</f>
        <v>1.5951445441303251</v>
      </c>
      <c r="BK422" s="222">
        <f t="shared" ref="BK422" si="5313">IF(BK421=0,0, BJ422)</f>
        <v>1.5951445441303251</v>
      </c>
    </row>
    <row r="423" spans="1:63" ht="7.8" x14ac:dyDescent="0.15">
      <c r="A423" s="218" t="s">
        <v>180</v>
      </c>
      <c r="B423" s="192"/>
      <c r="C423" s="192"/>
      <c r="D423" s="192"/>
      <c r="E423" s="192"/>
      <c r="F423" s="192"/>
      <c r="G423" s="192"/>
      <c r="H423" s="192"/>
      <c r="I423" s="192"/>
      <c r="J423" s="192"/>
      <c r="K423" s="192"/>
      <c r="L423" s="192"/>
      <c r="M423" s="192"/>
      <c r="N423" s="192"/>
      <c r="O423" s="192"/>
      <c r="P423" s="192"/>
      <c r="Q423" s="192"/>
      <c r="R423" s="192"/>
      <c r="S423" s="192"/>
      <c r="T423" s="192"/>
      <c r="U423" s="192"/>
      <c r="V423" s="192"/>
      <c r="W423" s="192"/>
      <c r="X423" s="192"/>
      <c r="Y423" s="192"/>
      <c r="Z423" s="192"/>
      <c r="AA423" s="192"/>
      <c r="AB423" s="192"/>
      <c r="AC423" s="192"/>
      <c r="AD423" s="192"/>
      <c r="AE423" s="192"/>
      <c r="AF423" s="192"/>
      <c r="AG423" s="192"/>
      <c r="AH423" s="192"/>
      <c r="AI423" s="192"/>
      <c r="AJ423" s="192"/>
      <c r="AK423" s="192"/>
      <c r="AL423" s="192"/>
      <c r="AM423" s="192"/>
      <c r="AN423" s="192"/>
      <c r="AO423" s="192"/>
      <c r="AP423" s="192"/>
      <c r="AQ423" s="192"/>
      <c r="AR423" s="192"/>
      <c r="AS423" s="192"/>
      <c r="AT423" s="192"/>
      <c r="AU423" s="192"/>
      <c r="AV423" s="192"/>
      <c r="AW423" s="192"/>
      <c r="AX423" s="220" cm="1">
        <f t="array" ref="AX423">AX421*INDEX(LoanCohortRate,$A420)</f>
        <v>0.38541666666666669</v>
      </c>
      <c r="AY423" s="221" cm="1">
        <f t="array" ref="AY423">AY421*INDEX(LoanCohortRate,$A420)</f>
        <v>0.36676669522243527</v>
      </c>
      <c r="AZ423" s="221" cm="1">
        <f t="array" ref="AZ423">AZ421*INDEX(LoanCohortRate,$A420)</f>
        <v>0.34782920338510526</v>
      </c>
      <c r="BA423" s="221" cm="1">
        <f t="array" ref="BA423">BA421*INDEX(LoanCohortRate,$A420)</f>
        <v>0.32859975854861645</v>
      </c>
      <c r="BB423" s="221" cm="1">
        <f t="array" ref="BB423">BB421*INDEX(LoanCohortRate,$A420)</f>
        <v>0.30907385977089846</v>
      </c>
      <c r="BC423" s="221" cm="1">
        <f t="array" ref="BC423">BC421*INDEX(LoanCohortRate,$A420)</f>
        <v>0.28924693672035728</v>
      </c>
      <c r="BD423" s="221" cm="1">
        <f t="array" ref="BD423">BD421*INDEX(LoanCohortRate,$A420)</f>
        <v>0.26911434860612032</v>
      </c>
      <c r="BE423" s="221" cm="1">
        <f t="array" ref="BE423">BE421*INDEX(LoanCohortRate,$A420)</f>
        <v>0.24867138309178882</v>
      </c>
      <c r="BF423" s="221" cm="1">
        <f t="array" ref="BF423">BF421*INDEX(LoanCohortRate,$A420)</f>
        <v>0.22791325519244471</v>
      </c>
      <c r="BG423" s="221" cm="1">
        <f t="array" ref="BG423">BG421*INDEX(LoanCohortRate,$A420)</f>
        <v>0.20683510615465239</v>
      </c>
      <c r="BH423" s="221" cm="1">
        <f t="array" ref="BH423">BH421*INDEX(LoanCohortRate,$A420)</f>
        <v>0.1854320023191941</v>
      </c>
      <c r="BI423" s="221" cm="1">
        <f t="array" ref="BI423">BI421*INDEX(LoanCohortRate,$A420)</f>
        <v>0.1636989339662725</v>
      </c>
      <c r="BJ423" s="221" cm="1">
        <f t="array" ref="BJ423">BJ421*INDEX(LoanCohortRate,$A420)</f>
        <v>0.14163081414291001</v>
      </c>
      <c r="BK423" s="221" cm="1">
        <f t="array" ref="BK423">BK421*INDEX(LoanCohortRate,$A420)</f>
        <v>0.11922247747227069</v>
      </c>
    </row>
    <row r="424" spans="1:63" ht="7.8" x14ac:dyDescent="0.15">
      <c r="A424" s="218" t="s">
        <v>177</v>
      </c>
      <c r="B424" s="192"/>
      <c r="C424" s="192"/>
      <c r="D424" s="192"/>
      <c r="E424" s="192"/>
      <c r="F424" s="192"/>
      <c r="G424" s="192"/>
      <c r="H424" s="192"/>
      <c r="I424" s="192"/>
      <c r="J424" s="192"/>
      <c r="K424" s="192"/>
      <c r="L424" s="192"/>
      <c r="M424" s="192"/>
      <c r="N424" s="192"/>
      <c r="O424" s="192"/>
      <c r="P424" s="192"/>
      <c r="Q424" s="192"/>
      <c r="R424" s="192"/>
      <c r="S424" s="192"/>
      <c r="T424" s="192"/>
      <c r="U424" s="192"/>
      <c r="V424" s="192"/>
      <c r="W424" s="192"/>
      <c r="X424" s="192"/>
      <c r="Y424" s="192"/>
      <c r="Z424" s="192"/>
      <c r="AA424" s="192"/>
      <c r="AB424" s="192"/>
      <c r="AC424" s="192"/>
      <c r="AD424" s="192"/>
      <c r="AE424" s="192"/>
      <c r="AF424" s="192"/>
      <c r="AG424" s="192"/>
      <c r="AH424" s="192"/>
      <c r="AI424" s="192"/>
      <c r="AJ424" s="192"/>
      <c r="AK424" s="192"/>
      <c r="AL424" s="192"/>
      <c r="AM424" s="192"/>
      <c r="AN424" s="192"/>
      <c r="AO424" s="192"/>
      <c r="AP424" s="192"/>
      <c r="AQ424" s="192"/>
      <c r="AR424" s="192"/>
      <c r="AS424" s="192"/>
      <c r="AT424" s="192"/>
      <c r="AU424" s="192"/>
      <c r="AV424" s="192"/>
      <c r="AW424" s="192"/>
      <c r="AX424" s="219">
        <f>AX422-AX423</f>
        <v>1.2097278774636584</v>
      </c>
      <c r="AY424" s="222">
        <f t="shared" ref="AY424:BK424" si="5314">AY422-AY423</f>
        <v>1.2283778489078898</v>
      </c>
      <c r="AZ424" s="222">
        <f t="shared" si="5314"/>
        <v>1.24731534074522</v>
      </c>
      <c r="BA424" s="222">
        <f t="shared" si="5314"/>
        <v>1.2665447855817087</v>
      </c>
      <c r="BB424" s="222">
        <f t="shared" si="5314"/>
        <v>1.2860706843594267</v>
      </c>
      <c r="BC424" s="222">
        <f t="shared" si="5314"/>
        <v>1.305897607409968</v>
      </c>
      <c r="BD424" s="222">
        <f t="shared" si="5314"/>
        <v>1.3260301955242049</v>
      </c>
      <c r="BE424" s="222">
        <f t="shared" si="5314"/>
        <v>1.3464731610385363</v>
      </c>
      <c r="BF424" s="222">
        <f t="shared" si="5314"/>
        <v>1.3672312889378804</v>
      </c>
      <c r="BG424" s="222">
        <f t="shared" si="5314"/>
        <v>1.3883094379756726</v>
      </c>
      <c r="BH424" s="222">
        <f t="shared" si="5314"/>
        <v>1.4097125418111309</v>
      </c>
      <c r="BI424" s="222">
        <f t="shared" si="5314"/>
        <v>1.4314456101640527</v>
      </c>
      <c r="BJ424" s="222">
        <f t="shared" si="5314"/>
        <v>1.453513729987415</v>
      </c>
      <c r="BK424" s="222">
        <f t="shared" si="5314"/>
        <v>1.4759220666580544</v>
      </c>
    </row>
    <row r="425" spans="1:63" ht="7.8" x14ac:dyDescent="0.15">
      <c r="A425" s="205" t="s">
        <v>7</v>
      </c>
      <c r="B425" s="192"/>
      <c r="C425" s="192"/>
      <c r="D425" s="192"/>
      <c r="E425" s="192"/>
      <c r="F425" s="192"/>
      <c r="G425" s="192"/>
      <c r="H425" s="192"/>
      <c r="I425" s="192"/>
      <c r="J425" s="192"/>
      <c r="K425" s="192"/>
      <c r="L425" s="192"/>
      <c r="M425" s="192"/>
      <c r="N425" s="192"/>
      <c r="O425" s="192"/>
      <c r="P425" s="192"/>
      <c r="Q425" s="192"/>
      <c r="R425" s="192"/>
      <c r="S425" s="192"/>
      <c r="T425" s="192"/>
      <c r="U425" s="192"/>
      <c r="V425" s="192"/>
      <c r="W425" s="192"/>
      <c r="X425" s="192"/>
      <c r="Y425" s="192"/>
      <c r="Z425" s="192"/>
      <c r="AA425" s="192"/>
      <c r="AB425" s="192"/>
      <c r="AC425" s="192"/>
      <c r="AD425" s="192"/>
      <c r="AE425" s="192"/>
      <c r="AF425" s="192"/>
      <c r="AG425" s="192"/>
      <c r="AH425" s="192"/>
      <c r="AI425" s="192"/>
      <c r="AJ425" s="192"/>
      <c r="AK425" s="192"/>
      <c r="AL425" s="192"/>
      <c r="AM425" s="192"/>
      <c r="AN425" s="192"/>
      <c r="AO425" s="192"/>
      <c r="AP425" s="192"/>
      <c r="AQ425" s="192"/>
      <c r="AR425" s="192"/>
      <c r="AS425" s="192"/>
      <c r="AT425" s="192"/>
      <c r="AU425" s="192"/>
      <c r="AV425" s="192"/>
      <c r="AW425" s="192"/>
      <c r="AX425" s="214" cm="1">
        <f t="array" ref="AX425">INDEX(LoanOriginations,$A420)</f>
        <v>125.78789248735252</v>
      </c>
      <c r="AY425" s="199">
        <f t="shared" ref="AY425:BK425" si="5315">AX425*(1-MitigateDelinquency*MitigateChargeoff)  *  IF(AY420=0,0,IF(AY420-102=LoanSaleHeld,0.6,1))</f>
        <v>125.66210459486517</v>
      </c>
      <c r="AZ425" s="199">
        <f t="shared" si="5315"/>
        <v>125.5364424902703</v>
      </c>
      <c r="BA425" s="199">
        <f t="shared" si="5315"/>
        <v>125.41090604778003</v>
      </c>
      <c r="BB425" s="199">
        <f t="shared" si="5315"/>
        <v>75.171297085039356</v>
      </c>
      <c r="BC425" s="199">
        <f t="shared" si="5315"/>
        <v>75.096125787954321</v>
      </c>
      <c r="BD425" s="199">
        <f t="shared" si="5315"/>
        <v>75.02102966216637</v>
      </c>
      <c r="BE425" s="199">
        <f t="shared" si="5315"/>
        <v>74.946008632504203</v>
      </c>
      <c r="BF425" s="199">
        <f t="shared" si="5315"/>
        <v>74.871062623871694</v>
      </c>
      <c r="BG425" s="199">
        <f t="shared" si="5315"/>
        <v>74.796191561247824</v>
      </c>
      <c r="BH425" s="199">
        <f t="shared" si="5315"/>
        <v>74.721395369686576</v>
      </c>
      <c r="BI425" s="199">
        <f t="shared" si="5315"/>
        <v>74.646673974316883</v>
      </c>
      <c r="BJ425" s="199">
        <f t="shared" si="5315"/>
        <v>74.572027300342569</v>
      </c>
      <c r="BK425" s="199">
        <f t="shared" si="5315"/>
        <v>74.49745527304222</v>
      </c>
    </row>
    <row r="426" spans="1:63" ht="7.8" x14ac:dyDescent="0.15">
      <c r="A426" s="207" t="s">
        <v>96</v>
      </c>
      <c r="B426" s="192"/>
      <c r="C426" s="192"/>
      <c r="D426" s="192"/>
      <c r="E426" s="192"/>
      <c r="F426" s="192"/>
      <c r="G426" s="192"/>
      <c r="H426" s="192"/>
      <c r="I426" s="192"/>
      <c r="J426" s="192"/>
      <c r="K426" s="192"/>
      <c r="L426" s="192"/>
      <c r="M426" s="192"/>
      <c r="N426" s="192"/>
      <c r="O426" s="192"/>
      <c r="P426" s="192"/>
      <c r="Q426" s="192"/>
      <c r="R426" s="192"/>
      <c r="S426" s="192"/>
      <c r="T426" s="192"/>
      <c r="U426" s="192"/>
      <c r="V426" s="192"/>
      <c r="W426" s="192"/>
      <c r="X426" s="192"/>
      <c r="Y426" s="192"/>
      <c r="Z426" s="192"/>
      <c r="AA426" s="192"/>
      <c r="AB426" s="192"/>
      <c r="AC426" s="192"/>
      <c r="AD426" s="192"/>
      <c r="AE426" s="192"/>
      <c r="AF426" s="192"/>
      <c r="AG426" s="192"/>
      <c r="AH426" s="192"/>
      <c r="AI426" s="192"/>
      <c r="AJ426" s="192"/>
      <c r="AK426" s="192"/>
      <c r="AL426" s="192"/>
      <c r="AM426" s="192"/>
      <c r="AN426" s="192"/>
      <c r="AO426" s="192"/>
      <c r="AP426" s="192"/>
      <c r="AQ426" s="192"/>
      <c r="AR426" s="192"/>
      <c r="AS426" s="192"/>
      <c r="AT426" s="192"/>
      <c r="AU426" s="192"/>
      <c r="AV426" s="192"/>
      <c r="AW426" s="192"/>
      <c r="AX426" s="223">
        <f>AX423*AX425</f>
        <v>48.480750229500451</v>
      </c>
      <c r="AY426" s="200">
        <f t="shared" ref="AY426" si="5316">AY423*AY425</f>
        <v>46.088674816954693</v>
      </c>
      <c r="AZ426" s="200">
        <f t="shared" ref="AZ426" si="5317">AZ423*AZ425</f>
        <v>43.665240787190797</v>
      </c>
      <c r="BA426" s="200">
        <f t="shared" ref="BA426" si="5318">BA423*BA425</f>
        <v>41.209993446663738</v>
      </c>
      <c r="BB426" s="200">
        <f t="shared" ref="BB426" si="5319">BB423*BB425</f>
        <v>23.233482934058003</v>
      </c>
      <c r="BC426" s="200">
        <f t="shared" ref="BC426" si="5320">BC423*BC425</f>
        <v>21.721324343732416</v>
      </c>
      <c r="BD426" s="200">
        <f t="shared" ref="BD426" si="5321">BD423*BD425</f>
        <v>20.189235529294333</v>
      </c>
      <c r="BE426" s="200">
        <f t="shared" ref="BE426" si="5322">BE423*BE425</f>
        <v>18.636927623853964</v>
      </c>
      <c r="BF426" s="200">
        <f t="shared" ref="BF426" si="5323">BF423*BF425</f>
        <v>17.064107602323979</v>
      </c>
      <c r="BG426" s="200">
        <f t="shared" ref="BG426" si="5324">BG423*BG425</f>
        <v>15.470478221534409</v>
      </c>
      <c r="BH426" s="200">
        <f t="shared" ref="BH426" si="5325">BH423*BH425</f>
        <v>13.85573795948514</v>
      </c>
      <c r="BI426" s="200">
        <f t="shared" ref="BI426" si="5326">BI423*BI425</f>
        <v>12.219580953723572</v>
      </c>
      <c r="BJ426" s="200">
        <f t="shared" ref="BJ426" si="5327">BJ423*BJ425</f>
        <v>10.56169693883483</v>
      </c>
      <c r="BK426" s="200">
        <f t="shared" ref="BK426" si="5328">BK423*BK425</f>
        <v>8.8817711830317698</v>
      </c>
    </row>
    <row r="427" spans="1:63" ht="7.8" x14ac:dyDescent="0.15">
      <c r="A427" s="206" t="s">
        <v>97</v>
      </c>
      <c r="B427" s="192"/>
      <c r="C427" s="192"/>
      <c r="D427" s="192"/>
      <c r="E427" s="192"/>
      <c r="F427" s="192"/>
      <c r="G427" s="192"/>
      <c r="H427" s="192"/>
      <c r="I427" s="192"/>
      <c r="J427" s="192"/>
      <c r="K427" s="192"/>
      <c r="L427" s="192"/>
      <c r="M427" s="192"/>
      <c r="N427" s="192"/>
      <c r="O427" s="192"/>
      <c r="P427" s="192"/>
      <c r="Q427" s="192"/>
      <c r="R427" s="192"/>
      <c r="S427" s="192"/>
      <c r="T427" s="192"/>
      <c r="U427" s="192"/>
      <c r="V427" s="192"/>
      <c r="W427" s="192"/>
      <c r="X427" s="192"/>
      <c r="Y427" s="192"/>
      <c r="Z427" s="192"/>
      <c r="AA427" s="192"/>
      <c r="AB427" s="192"/>
      <c r="AC427" s="192"/>
      <c r="AD427" s="192"/>
      <c r="AE427" s="192"/>
      <c r="AF427" s="192"/>
      <c r="AG427" s="192"/>
      <c r="AH427" s="192"/>
      <c r="AI427" s="192"/>
      <c r="AJ427" s="192"/>
      <c r="AK427" s="192"/>
      <c r="AL427" s="192"/>
      <c r="AM427" s="192"/>
      <c r="AN427" s="192"/>
      <c r="AO427" s="192"/>
      <c r="AP427" s="192"/>
      <c r="AQ427" s="192"/>
      <c r="AR427" s="192"/>
      <c r="AS427" s="192"/>
      <c r="AT427" s="192"/>
      <c r="AU427" s="192"/>
      <c r="AV427" s="192"/>
      <c r="AW427" s="192"/>
      <c r="AX427" s="223">
        <f>AX424*AX425</f>
        <v>152.16912018935182</v>
      </c>
      <c r="AY427" s="200">
        <f>AY424*AY425</f>
        <v>154.36054573147874</v>
      </c>
      <c r="AZ427" s="200">
        <f t="shared" ref="AZ427:BK427" si="5329">AZ424*AZ425</f>
        <v>156.58353054069423</v>
      </c>
      <c r="BA427" s="200">
        <f t="shared" si="5329"/>
        <v>158.83852910989339</v>
      </c>
      <c r="BB427" s="200">
        <f t="shared" si="5329"/>
        <v>96.675601486342345</v>
      </c>
      <c r="BC427" s="200">
        <f t="shared" si="5329"/>
        <v>98.067850992247543</v>
      </c>
      <c r="BD427" s="200">
        <f t="shared" si="5329"/>
        <v>99.480150631349645</v>
      </c>
      <c r="BE427" s="200">
        <f t="shared" si="5329"/>
        <v>100.91278915062937</v>
      </c>
      <c r="BF427" s="200">
        <f t="shared" si="5329"/>
        <v>102.36605945538486</v>
      </c>
      <c r="BG427" s="200">
        <f t="shared" si="5329"/>
        <v>103.84025866911671</v>
      </c>
      <c r="BH427" s="200">
        <f t="shared" si="5329"/>
        <v>105.33568819427533</v>
      </c>
      <c r="BI427" s="200">
        <f t="shared" si="5329"/>
        <v>106.85265377388315</v>
      </c>
      <c r="BJ427" s="200">
        <f t="shared" si="5329"/>
        <v>108.39146555404427</v>
      </c>
      <c r="BK427" s="200">
        <f t="shared" si="5329"/>
        <v>109.95243814735444</v>
      </c>
    </row>
    <row r="428" spans="1:63" ht="7.8" x14ac:dyDescent="0.15">
      <c r="A428" s="208" t="s">
        <v>203</v>
      </c>
      <c r="B428" s="192"/>
      <c r="C428" s="192"/>
      <c r="D428" s="192"/>
      <c r="E428" s="192"/>
      <c r="F428" s="192"/>
      <c r="G428" s="192"/>
      <c r="H428" s="192"/>
      <c r="I428" s="192"/>
      <c r="J428" s="192"/>
      <c r="K428" s="192"/>
      <c r="L428" s="192"/>
      <c r="M428" s="192"/>
      <c r="N428" s="192"/>
      <c r="O428" s="192"/>
      <c r="P428" s="192"/>
      <c r="Q428" s="192"/>
      <c r="R428" s="192"/>
      <c r="S428" s="192"/>
      <c r="T428" s="192"/>
      <c r="U428" s="192"/>
      <c r="V428" s="192"/>
      <c r="W428" s="192"/>
      <c r="X428" s="192"/>
      <c r="Y428" s="192"/>
      <c r="Z428" s="192"/>
      <c r="AA428" s="192"/>
      <c r="AB428" s="192"/>
      <c r="AC428" s="192"/>
      <c r="AD428" s="192"/>
      <c r="AE428" s="192"/>
      <c r="AF428" s="192"/>
      <c r="AG428" s="192"/>
      <c r="AH428" s="192"/>
      <c r="AI428" s="192"/>
      <c r="AJ428" s="192"/>
      <c r="AK428" s="192"/>
      <c r="AL428" s="192"/>
      <c r="AM428" s="192"/>
      <c r="AN428" s="192"/>
      <c r="AO428" s="192"/>
      <c r="AP428" s="192"/>
      <c r="AQ428" s="192"/>
      <c r="AR428" s="192"/>
      <c r="AS428" s="192"/>
      <c r="AT428" s="192"/>
      <c r="AU428" s="192"/>
      <c r="AV428" s="192"/>
      <c r="AW428" s="192"/>
      <c r="AX428" s="224">
        <f>IF(AX420-101&lt;&gt;LoanSaleHeld,0,SUM($D427:AX427)*LoanSalePercent)</f>
        <v>0</v>
      </c>
      <c r="AY428" s="225">
        <f>IF(AY420-101&lt;&gt;LoanSaleHeld,0,SUM($D427:AY427)*LoanSalePercent)</f>
        <v>0</v>
      </c>
      <c r="AZ428" s="225">
        <f>IF(AZ420-101&lt;&gt;LoanSaleHeld,0,SUM($D427:AZ427)*LoanSalePercent)</f>
        <v>0</v>
      </c>
      <c r="BA428" s="225">
        <f>IF(BA420-101&lt;&gt;LoanSaleHeld,0,SUM($D427:BA427)*LoanSalePercent)</f>
        <v>248.78069022856727</v>
      </c>
      <c r="BB428" s="225">
        <f>IF(BB420-101&lt;&gt;LoanSaleHeld,0,SUM($D427:BB427)*LoanSalePercent)</f>
        <v>0</v>
      </c>
      <c r="BC428" s="225">
        <f>IF(BC420-101&lt;&gt;LoanSaleHeld,0,SUM($D427:BC427)*LoanSalePercent)</f>
        <v>0</v>
      </c>
      <c r="BD428" s="225">
        <f>IF(BD420-101&lt;&gt;LoanSaleHeld,0,SUM($D427:BD427)*LoanSalePercent)</f>
        <v>0</v>
      </c>
      <c r="BE428" s="225">
        <f>IF(BE420-101&lt;&gt;LoanSaleHeld,0,SUM($D427:BE427)*LoanSalePercent)</f>
        <v>0</v>
      </c>
      <c r="BF428" s="225">
        <f>IF(BF420-101&lt;&gt;LoanSaleHeld,0,SUM($D427:BF427)*LoanSalePercent)</f>
        <v>0</v>
      </c>
      <c r="BG428" s="225">
        <f>IF(BG420-101&lt;&gt;LoanSaleHeld,0,SUM($D427:BG427)*LoanSalePercent)</f>
        <v>0</v>
      </c>
      <c r="BH428" s="225">
        <f>IF(BH420-101&lt;&gt;LoanSaleHeld,0,SUM($D427:BH427)*LoanSalePercent)</f>
        <v>0</v>
      </c>
      <c r="BI428" s="225">
        <f>IF(BI420-101&lt;&gt;LoanSaleHeld,0,SUM($D427:BI427)*LoanSalePercent)</f>
        <v>0</v>
      </c>
      <c r="BJ428" s="225">
        <f>IF(BJ420-101&lt;&gt;LoanSaleHeld,0,SUM($D427:BJ427)*LoanSalePercent)</f>
        <v>0</v>
      </c>
      <c r="BK428" s="225">
        <f>IF(BK420-101&lt;&gt;LoanSaleHeld,0,SUM($D427:BK427)*LoanSalePercent)</f>
        <v>0</v>
      </c>
    </row>
    <row r="429" spans="1:63" ht="7.8" x14ac:dyDescent="0.15">
      <c r="A429" s="204">
        <f t="shared" ref="A429" si="5330">A420+1</f>
        <v>48</v>
      </c>
      <c r="B429" s="192"/>
      <c r="C429" s="192"/>
      <c r="D429" s="192"/>
      <c r="E429" s="192"/>
      <c r="F429" s="192"/>
      <c r="G429" s="192"/>
      <c r="H429" s="192"/>
      <c r="I429" s="192"/>
      <c r="J429" s="192"/>
      <c r="K429" s="192"/>
      <c r="L429" s="192"/>
      <c r="M429" s="192"/>
      <c r="N429" s="192"/>
      <c r="O429" s="192"/>
      <c r="P429" s="192"/>
      <c r="Q429" s="192"/>
      <c r="R429" s="192"/>
      <c r="S429" s="192"/>
      <c r="T429" s="192"/>
      <c r="U429" s="192"/>
      <c r="V429" s="192"/>
      <c r="W429" s="192"/>
      <c r="X429" s="192"/>
      <c r="Y429" s="192"/>
      <c r="Z429" s="192"/>
      <c r="AA429" s="192"/>
      <c r="AB429" s="192"/>
      <c r="AC429" s="192"/>
      <c r="AD429" s="192"/>
      <c r="AE429" s="192"/>
      <c r="AF429" s="192"/>
      <c r="AG429" s="192"/>
      <c r="AH429" s="192"/>
      <c r="AI429" s="192"/>
      <c r="AJ429" s="192"/>
      <c r="AK429" s="192"/>
      <c r="AL429" s="192"/>
      <c r="AM429" s="192"/>
      <c r="AN429" s="192"/>
      <c r="AO429" s="192"/>
      <c r="AP429" s="192"/>
      <c r="AQ429" s="192"/>
      <c r="AR429" s="192"/>
      <c r="AS429" s="192"/>
      <c r="AT429" s="192"/>
      <c r="AU429" s="192"/>
      <c r="AV429" s="192"/>
      <c r="AW429" s="192"/>
      <c r="AX429" s="192"/>
      <c r="AY429" s="195">
        <v>101</v>
      </c>
      <c r="AZ429" s="196">
        <f t="shared" ref="AZ429" si="5331">IF(AZ430=0,0,AY429+1)</f>
        <v>102</v>
      </c>
      <c r="BA429" s="196">
        <f t="shared" ref="BA429" si="5332">IF(BA430=0,0,AZ429+1)</f>
        <v>103</v>
      </c>
      <c r="BB429" s="196">
        <f t="shared" ref="BB429" si="5333">IF(BB430=0,0,BA429+1)</f>
        <v>104</v>
      </c>
      <c r="BC429" s="196">
        <f t="shared" ref="BC429" si="5334">IF(BC430=0,0,BB429+1)</f>
        <v>105</v>
      </c>
      <c r="BD429" s="196">
        <f t="shared" ref="BD429" si="5335">IF(BD430=0,0,BC429+1)</f>
        <v>106</v>
      </c>
      <c r="BE429" s="196">
        <f t="shared" ref="BE429" si="5336">IF(BE430=0,0,BD429+1)</f>
        <v>107</v>
      </c>
      <c r="BF429" s="196">
        <f t="shared" ref="BF429" si="5337">IF(BF430=0,0,BE429+1)</f>
        <v>108</v>
      </c>
      <c r="BG429" s="196">
        <f t="shared" ref="BG429" si="5338">IF(BG430=0,0,BF429+1)</f>
        <v>109</v>
      </c>
      <c r="BH429" s="196">
        <f t="shared" ref="BH429" si="5339">IF(BH430=0,0,BG429+1)</f>
        <v>110</v>
      </c>
      <c r="BI429" s="196">
        <f t="shared" ref="BI429" si="5340">IF(BI430=0,0,BH429+1)</f>
        <v>111</v>
      </c>
      <c r="BJ429" s="196">
        <f t="shared" ref="BJ429" si="5341">IF(BJ430=0,0,BI429+1)</f>
        <v>112</v>
      </c>
      <c r="BK429" s="196">
        <f t="shared" ref="BK429" si="5342">IF(BK430=0,0,BJ429+1)</f>
        <v>113</v>
      </c>
    </row>
    <row r="430" spans="1:63" ht="7.8" x14ac:dyDescent="0.15">
      <c r="A430" s="216" t="s">
        <v>178</v>
      </c>
      <c r="B430" s="192"/>
      <c r="C430" s="192"/>
      <c r="D430" s="192"/>
      <c r="E430" s="192"/>
      <c r="F430" s="192"/>
      <c r="G430" s="192"/>
      <c r="H430" s="192"/>
      <c r="I430" s="192"/>
      <c r="J430" s="192"/>
      <c r="K430" s="192"/>
      <c r="L430" s="192"/>
      <c r="M430" s="192"/>
      <c r="N430" s="192"/>
      <c r="O430" s="192"/>
      <c r="P430" s="192"/>
      <c r="Q430" s="192"/>
      <c r="R430" s="192"/>
      <c r="S430" s="192"/>
      <c r="T430" s="192"/>
      <c r="U430" s="192"/>
      <c r="V430" s="192"/>
      <c r="W430" s="192"/>
      <c r="X430" s="192"/>
      <c r="Y430" s="192"/>
      <c r="Z430" s="192"/>
      <c r="AA430" s="192"/>
      <c r="AB430" s="192"/>
      <c r="AC430" s="192"/>
      <c r="AD430" s="192"/>
      <c r="AE430" s="192"/>
      <c r="AF430" s="192"/>
      <c r="AG430" s="192"/>
      <c r="AH430" s="192"/>
      <c r="AI430" s="192"/>
      <c r="AJ430" s="192"/>
      <c r="AK430" s="192"/>
      <c r="AL430" s="192"/>
      <c r="AM430" s="192"/>
      <c r="AN430" s="192"/>
      <c r="AO430" s="192"/>
      <c r="AP430" s="192"/>
      <c r="AQ430" s="192"/>
      <c r="AR430" s="192"/>
      <c r="AS430" s="192"/>
      <c r="AT430" s="192"/>
      <c r="AU430" s="192"/>
      <c r="AV430" s="192"/>
      <c r="AW430" s="192"/>
      <c r="AX430" s="192"/>
      <c r="AY430" s="217">
        <f>LoanSize</f>
        <v>25</v>
      </c>
      <c r="AZ430" s="215">
        <f>IF(AY430-AY433&lt;=0.1,0,AY430-AY433)</f>
        <v>23.79027212253634</v>
      </c>
      <c r="BA430" s="215">
        <f t="shared" ref="BA430:BK430" si="5343">IF(AZ430-AZ433&lt;=0.1,0,AZ430-AZ433)</f>
        <v>22.56189427362845</v>
      </c>
      <c r="BB430" s="215">
        <f t="shared" si="5343"/>
        <v>21.314578932883229</v>
      </c>
      <c r="BC430" s="215">
        <f t="shared" si="5343"/>
        <v>20.048034147301522</v>
      </c>
      <c r="BD430" s="215">
        <f t="shared" si="5343"/>
        <v>18.761963462942095</v>
      </c>
      <c r="BE430" s="215">
        <f t="shared" si="5343"/>
        <v>17.456065855532128</v>
      </c>
      <c r="BF430" s="215">
        <f t="shared" si="5343"/>
        <v>16.130035660007923</v>
      </c>
      <c r="BG430" s="215">
        <f t="shared" si="5343"/>
        <v>14.783562498969387</v>
      </c>
      <c r="BH430" s="215">
        <f t="shared" si="5343"/>
        <v>13.416331210031506</v>
      </c>
      <c r="BI430" s="215">
        <f t="shared" si="5343"/>
        <v>12.028021772055833</v>
      </c>
      <c r="BJ430" s="215">
        <f t="shared" si="5343"/>
        <v>10.618309230244702</v>
      </c>
      <c r="BK430" s="215">
        <f t="shared" si="5343"/>
        <v>9.1868636200806488</v>
      </c>
    </row>
    <row r="431" spans="1:63" ht="7.8" x14ac:dyDescent="0.15">
      <c r="A431" s="218" t="s">
        <v>179</v>
      </c>
      <c r="B431" s="192"/>
      <c r="C431" s="192"/>
      <c r="D431" s="192"/>
      <c r="E431" s="192"/>
      <c r="F431" s="192"/>
      <c r="G431" s="192"/>
      <c r="H431" s="192"/>
      <c r="I431" s="192"/>
      <c r="J431" s="192"/>
      <c r="K431" s="192"/>
      <c r="L431" s="192"/>
      <c r="M431" s="192"/>
      <c r="N431" s="192"/>
      <c r="O431" s="192"/>
      <c r="P431" s="192"/>
      <c r="Q431" s="192"/>
      <c r="R431" s="192"/>
      <c r="S431" s="192"/>
      <c r="T431" s="192"/>
      <c r="U431" s="192"/>
      <c r="V431" s="192"/>
      <c r="W431" s="192"/>
      <c r="X431" s="192"/>
      <c r="Y431" s="192"/>
      <c r="Z431" s="192"/>
      <c r="AA431" s="192"/>
      <c r="AB431" s="192"/>
      <c r="AC431" s="192"/>
      <c r="AD431" s="192"/>
      <c r="AE431" s="192"/>
      <c r="AF431" s="192"/>
      <c r="AG431" s="192"/>
      <c r="AH431" s="192"/>
      <c r="AI431" s="192"/>
      <c r="AJ431" s="192"/>
      <c r="AK431" s="192"/>
      <c r="AL431" s="192"/>
      <c r="AM431" s="192"/>
      <c r="AN431" s="192"/>
      <c r="AO431" s="192"/>
      <c r="AP431" s="192"/>
      <c r="AQ431" s="192"/>
      <c r="AR431" s="192"/>
      <c r="AS431" s="192"/>
      <c r="AT431" s="192"/>
      <c r="AU431" s="192"/>
      <c r="AV431" s="192"/>
      <c r="AW431" s="192"/>
      <c r="AX431" s="192"/>
      <c r="AY431" s="219">
        <f>IF(AY430=0,0,PMT(INDEX(LoanCohortRate,1),LoanTerm, -LoanSize))</f>
        <v>1.5951445441303251</v>
      </c>
      <c r="AZ431" s="222">
        <f t="shared" ref="AZ431" si="5344">IF(AZ430=0,0, AY431)</f>
        <v>1.5951445441303251</v>
      </c>
      <c r="BA431" s="222">
        <f t="shared" ref="BA431" si="5345">IF(BA430=0,0, AZ431)</f>
        <v>1.5951445441303251</v>
      </c>
      <c r="BB431" s="222">
        <f t="shared" ref="BB431" si="5346">IF(BB430=0,0, BA431)</f>
        <v>1.5951445441303251</v>
      </c>
      <c r="BC431" s="222">
        <f t="shared" ref="BC431" si="5347">IF(BC430=0,0, BB431)</f>
        <v>1.5951445441303251</v>
      </c>
      <c r="BD431" s="222">
        <f t="shared" ref="BD431" si="5348">IF(BD430=0,0, BC431)</f>
        <v>1.5951445441303251</v>
      </c>
      <c r="BE431" s="222">
        <f t="shared" ref="BE431" si="5349">IF(BE430=0,0, BD431)</f>
        <v>1.5951445441303251</v>
      </c>
      <c r="BF431" s="222">
        <f t="shared" ref="BF431" si="5350">IF(BF430=0,0, BE431)</f>
        <v>1.5951445441303251</v>
      </c>
      <c r="BG431" s="222">
        <f t="shared" ref="BG431" si="5351">IF(BG430=0,0, BF431)</f>
        <v>1.5951445441303251</v>
      </c>
      <c r="BH431" s="222">
        <f t="shared" ref="BH431" si="5352">IF(BH430=0,0, BG431)</f>
        <v>1.5951445441303251</v>
      </c>
      <c r="BI431" s="222">
        <f t="shared" ref="BI431" si="5353">IF(BI430=0,0, BH431)</f>
        <v>1.5951445441303251</v>
      </c>
      <c r="BJ431" s="222">
        <f t="shared" ref="BJ431" si="5354">IF(BJ430=0,0, BI431)</f>
        <v>1.5951445441303251</v>
      </c>
      <c r="BK431" s="222">
        <f t="shared" ref="BK431" si="5355">IF(BK430=0,0, BJ431)</f>
        <v>1.5951445441303251</v>
      </c>
    </row>
    <row r="432" spans="1:63" ht="7.8" x14ac:dyDescent="0.15">
      <c r="A432" s="218" t="s">
        <v>180</v>
      </c>
      <c r="B432" s="192"/>
      <c r="C432" s="192"/>
      <c r="D432" s="192"/>
      <c r="E432" s="192"/>
      <c r="F432" s="192"/>
      <c r="G432" s="192"/>
      <c r="H432" s="192"/>
      <c r="I432" s="192"/>
      <c r="J432" s="192"/>
      <c r="K432" s="192"/>
      <c r="L432" s="192"/>
      <c r="M432" s="192"/>
      <c r="N432" s="192"/>
      <c r="O432" s="192"/>
      <c r="P432" s="192"/>
      <c r="Q432" s="192"/>
      <c r="R432" s="192"/>
      <c r="S432" s="192"/>
      <c r="T432" s="192"/>
      <c r="U432" s="192"/>
      <c r="V432" s="192"/>
      <c r="W432" s="192"/>
      <c r="X432" s="192"/>
      <c r="Y432" s="192"/>
      <c r="Z432" s="192"/>
      <c r="AA432" s="192"/>
      <c r="AB432" s="192"/>
      <c r="AC432" s="192"/>
      <c r="AD432" s="192"/>
      <c r="AE432" s="192"/>
      <c r="AF432" s="192"/>
      <c r="AG432" s="192"/>
      <c r="AH432" s="192"/>
      <c r="AI432" s="192"/>
      <c r="AJ432" s="192"/>
      <c r="AK432" s="192"/>
      <c r="AL432" s="192"/>
      <c r="AM432" s="192"/>
      <c r="AN432" s="192"/>
      <c r="AO432" s="192"/>
      <c r="AP432" s="192"/>
      <c r="AQ432" s="192"/>
      <c r="AR432" s="192"/>
      <c r="AS432" s="192"/>
      <c r="AT432" s="192"/>
      <c r="AU432" s="192"/>
      <c r="AV432" s="192"/>
      <c r="AW432" s="192"/>
      <c r="AX432" s="192"/>
      <c r="AY432" s="220" cm="1">
        <f t="array" ref="AY432">AY430*INDEX(LoanCohortRate,$A429)</f>
        <v>0.38541666666666669</v>
      </c>
      <c r="AZ432" s="221" cm="1">
        <f t="array" ref="AZ432">AZ430*INDEX(LoanCohortRate,$A429)</f>
        <v>0.36676669522243527</v>
      </c>
      <c r="BA432" s="221" cm="1">
        <f t="array" ref="BA432">BA430*INDEX(LoanCohortRate,$A429)</f>
        <v>0.34782920338510526</v>
      </c>
      <c r="BB432" s="221" cm="1">
        <f t="array" ref="BB432">BB430*INDEX(LoanCohortRate,$A429)</f>
        <v>0.32859975854861645</v>
      </c>
      <c r="BC432" s="221" cm="1">
        <f t="array" ref="BC432">BC430*INDEX(LoanCohortRate,$A429)</f>
        <v>0.30907385977089846</v>
      </c>
      <c r="BD432" s="221" cm="1">
        <f t="array" ref="BD432">BD430*INDEX(LoanCohortRate,$A429)</f>
        <v>0.28924693672035728</v>
      </c>
      <c r="BE432" s="221" cm="1">
        <f t="array" ref="BE432">BE430*INDEX(LoanCohortRate,$A429)</f>
        <v>0.26911434860612032</v>
      </c>
      <c r="BF432" s="221" cm="1">
        <f t="array" ref="BF432">BF430*INDEX(LoanCohortRate,$A429)</f>
        <v>0.24867138309178882</v>
      </c>
      <c r="BG432" s="221" cm="1">
        <f t="array" ref="BG432">BG430*INDEX(LoanCohortRate,$A429)</f>
        <v>0.22791325519244471</v>
      </c>
      <c r="BH432" s="221" cm="1">
        <f t="array" ref="BH432">BH430*INDEX(LoanCohortRate,$A429)</f>
        <v>0.20683510615465239</v>
      </c>
      <c r="BI432" s="221" cm="1">
        <f t="array" ref="BI432">BI430*INDEX(LoanCohortRate,$A429)</f>
        <v>0.1854320023191941</v>
      </c>
      <c r="BJ432" s="221" cm="1">
        <f t="array" ref="BJ432">BJ430*INDEX(LoanCohortRate,$A429)</f>
        <v>0.1636989339662725</v>
      </c>
      <c r="BK432" s="221" cm="1">
        <f t="array" ref="BK432">BK430*INDEX(LoanCohortRate,$A429)</f>
        <v>0.14163081414291001</v>
      </c>
    </row>
    <row r="433" spans="1:63" ht="7.8" x14ac:dyDescent="0.15">
      <c r="A433" s="218" t="s">
        <v>177</v>
      </c>
      <c r="B433" s="192"/>
      <c r="C433" s="192"/>
      <c r="D433" s="192"/>
      <c r="E433" s="192"/>
      <c r="F433" s="192"/>
      <c r="G433" s="192"/>
      <c r="H433" s="192"/>
      <c r="I433" s="192"/>
      <c r="J433" s="192"/>
      <c r="K433" s="192"/>
      <c r="L433" s="192"/>
      <c r="M433" s="192"/>
      <c r="N433" s="192"/>
      <c r="O433" s="192"/>
      <c r="P433" s="192"/>
      <c r="Q433" s="192"/>
      <c r="R433" s="192"/>
      <c r="S433" s="192"/>
      <c r="T433" s="192"/>
      <c r="U433" s="192"/>
      <c r="V433" s="192"/>
      <c r="W433" s="192"/>
      <c r="X433" s="192"/>
      <c r="Y433" s="192"/>
      <c r="Z433" s="192"/>
      <c r="AA433" s="192"/>
      <c r="AB433" s="192"/>
      <c r="AC433" s="192"/>
      <c r="AD433" s="192"/>
      <c r="AE433" s="192"/>
      <c r="AF433" s="192"/>
      <c r="AG433" s="192"/>
      <c r="AH433" s="192"/>
      <c r="AI433" s="192"/>
      <c r="AJ433" s="192"/>
      <c r="AK433" s="192"/>
      <c r="AL433" s="192"/>
      <c r="AM433" s="192"/>
      <c r="AN433" s="192"/>
      <c r="AO433" s="192"/>
      <c r="AP433" s="192"/>
      <c r="AQ433" s="192"/>
      <c r="AR433" s="192"/>
      <c r="AS433" s="192"/>
      <c r="AT433" s="192"/>
      <c r="AU433" s="192"/>
      <c r="AV433" s="192"/>
      <c r="AW433" s="192"/>
      <c r="AX433" s="192"/>
      <c r="AY433" s="219">
        <f>AY431-AY432</f>
        <v>1.2097278774636584</v>
      </c>
      <c r="AZ433" s="222">
        <f t="shared" ref="AZ433:BK433" si="5356">AZ431-AZ432</f>
        <v>1.2283778489078898</v>
      </c>
      <c r="BA433" s="222">
        <f t="shared" si="5356"/>
        <v>1.24731534074522</v>
      </c>
      <c r="BB433" s="222">
        <f t="shared" si="5356"/>
        <v>1.2665447855817087</v>
      </c>
      <c r="BC433" s="222">
        <f t="shared" si="5356"/>
        <v>1.2860706843594267</v>
      </c>
      <c r="BD433" s="222">
        <f t="shared" si="5356"/>
        <v>1.305897607409968</v>
      </c>
      <c r="BE433" s="222">
        <f t="shared" si="5356"/>
        <v>1.3260301955242049</v>
      </c>
      <c r="BF433" s="222">
        <f t="shared" si="5356"/>
        <v>1.3464731610385363</v>
      </c>
      <c r="BG433" s="222">
        <f t="shared" si="5356"/>
        <v>1.3672312889378804</v>
      </c>
      <c r="BH433" s="222">
        <f t="shared" si="5356"/>
        <v>1.3883094379756726</v>
      </c>
      <c r="BI433" s="222">
        <f t="shared" si="5356"/>
        <v>1.4097125418111309</v>
      </c>
      <c r="BJ433" s="222">
        <f t="shared" si="5356"/>
        <v>1.4314456101640527</v>
      </c>
      <c r="BK433" s="222">
        <f t="shared" si="5356"/>
        <v>1.453513729987415</v>
      </c>
    </row>
    <row r="434" spans="1:63" ht="7.8" x14ac:dyDescent="0.15">
      <c r="A434" s="205" t="s">
        <v>7</v>
      </c>
      <c r="B434" s="192"/>
      <c r="C434" s="192"/>
      <c r="D434" s="192"/>
      <c r="E434" s="192"/>
      <c r="F434" s="192"/>
      <c r="G434" s="192"/>
      <c r="H434" s="192"/>
      <c r="I434" s="192"/>
      <c r="J434" s="192"/>
      <c r="K434" s="192"/>
      <c r="L434" s="192"/>
      <c r="M434" s="192"/>
      <c r="N434" s="192"/>
      <c r="O434" s="192"/>
      <c r="P434" s="192"/>
      <c r="Q434" s="192"/>
      <c r="R434" s="192"/>
      <c r="S434" s="192"/>
      <c r="T434" s="192"/>
      <c r="U434" s="192"/>
      <c r="V434" s="192"/>
      <c r="W434" s="192"/>
      <c r="X434" s="192"/>
      <c r="Y434" s="192"/>
      <c r="Z434" s="192"/>
      <c r="AA434" s="192"/>
      <c r="AB434" s="192"/>
      <c r="AC434" s="192"/>
      <c r="AD434" s="192"/>
      <c r="AE434" s="192"/>
      <c r="AF434" s="192"/>
      <c r="AG434" s="192"/>
      <c r="AH434" s="192"/>
      <c r="AI434" s="192"/>
      <c r="AJ434" s="192"/>
      <c r="AK434" s="192"/>
      <c r="AL434" s="192"/>
      <c r="AM434" s="192"/>
      <c r="AN434" s="192"/>
      <c r="AO434" s="192"/>
      <c r="AP434" s="192"/>
      <c r="AQ434" s="192"/>
      <c r="AR434" s="192"/>
      <c r="AS434" s="192"/>
      <c r="AT434" s="192"/>
      <c r="AU434" s="192"/>
      <c r="AV434" s="192"/>
      <c r="AW434" s="192"/>
      <c r="AX434" s="192"/>
      <c r="AY434" s="214" cm="1">
        <f t="array" ref="AY434">INDEX(LoanOriginations,$A429)</f>
        <v>126.41683194978927</v>
      </c>
      <c r="AZ434" s="199">
        <f t="shared" ref="AZ434:BK434" si="5357">AY434*(1-MitigateDelinquency*MitigateChargeoff)  *  IF(AZ429=0,0,IF(AZ429-102=LoanSaleHeld,0.6,1))</f>
        <v>126.29041511783949</v>
      </c>
      <c r="BA434" s="199">
        <f t="shared" si="5357"/>
        <v>126.16412470272165</v>
      </c>
      <c r="BB434" s="199">
        <f t="shared" si="5357"/>
        <v>126.03796057801893</v>
      </c>
      <c r="BC434" s="199">
        <f t="shared" si="5357"/>
        <v>75.547153570464545</v>
      </c>
      <c r="BD434" s="199">
        <f t="shared" si="5357"/>
        <v>75.471606416894076</v>
      </c>
      <c r="BE434" s="199">
        <f t="shared" si="5357"/>
        <v>75.396134810477179</v>
      </c>
      <c r="BF434" s="199">
        <f t="shared" si="5357"/>
        <v>75.320738675666703</v>
      </c>
      <c r="BG434" s="199">
        <f t="shared" si="5357"/>
        <v>75.245417936991032</v>
      </c>
      <c r="BH434" s="199">
        <f t="shared" si="5357"/>
        <v>75.170172519054034</v>
      </c>
      <c r="BI434" s="199">
        <f t="shared" si="5357"/>
        <v>75.095002346534983</v>
      </c>
      <c r="BJ434" s="199">
        <f t="shared" si="5357"/>
        <v>75.019907344188454</v>
      </c>
      <c r="BK434" s="199">
        <f t="shared" si="5357"/>
        <v>74.944887436844269</v>
      </c>
    </row>
    <row r="435" spans="1:63" ht="7.8" x14ac:dyDescent="0.15">
      <c r="A435" s="207" t="s">
        <v>96</v>
      </c>
      <c r="B435" s="192"/>
      <c r="C435" s="192"/>
      <c r="D435" s="192"/>
      <c r="E435" s="192"/>
      <c r="F435" s="192"/>
      <c r="G435" s="192"/>
      <c r="H435" s="192"/>
      <c r="I435" s="192"/>
      <c r="J435" s="192"/>
      <c r="K435" s="192"/>
      <c r="L435" s="192"/>
      <c r="M435" s="192"/>
      <c r="N435" s="192"/>
      <c r="O435" s="192"/>
      <c r="P435" s="192"/>
      <c r="Q435" s="192"/>
      <c r="R435" s="192"/>
      <c r="S435" s="192"/>
      <c r="T435" s="192"/>
      <c r="U435" s="192"/>
      <c r="V435" s="192"/>
      <c r="W435" s="192"/>
      <c r="X435" s="192"/>
      <c r="Y435" s="192"/>
      <c r="Z435" s="192"/>
      <c r="AA435" s="192"/>
      <c r="AB435" s="192"/>
      <c r="AC435" s="192"/>
      <c r="AD435" s="192"/>
      <c r="AE435" s="192"/>
      <c r="AF435" s="192"/>
      <c r="AG435" s="192"/>
      <c r="AH435" s="192"/>
      <c r="AI435" s="192"/>
      <c r="AJ435" s="192"/>
      <c r="AK435" s="192"/>
      <c r="AL435" s="192"/>
      <c r="AM435" s="192"/>
      <c r="AN435" s="192"/>
      <c r="AO435" s="192"/>
      <c r="AP435" s="192"/>
      <c r="AQ435" s="192"/>
      <c r="AR435" s="192"/>
      <c r="AS435" s="192"/>
      <c r="AT435" s="192"/>
      <c r="AU435" s="192"/>
      <c r="AV435" s="192"/>
      <c r="AW435" s="192"/>
      <c r="AX435" s="192"/>
      <c r="AY435" s="223">
        <f>AY432*AY434</f>
        <v>48.72315398064795</v>
      </c>
      <c r="AZ435" s="200">
        <f t="shared" ref="AZ435" si="5358">AZ432*AZ434</f>
        <v>46.319118191039465</v>
      </c>
      <c r="BA435" s="200">
        <f t="shared" ref="BA435" si="5359">BA432*BA434</f>
        <v>43.883566991126749</v>
      </c>
      <c r="BB435" s="200">
        <f t="shared" ref="BB435" si="5360">BB432*BB434</f>
        <v>41.416043413897057</v>
      </c>
      <c r="BC435" s="200">
        <f t="shared" ref="BC435" si="5361">BC432*BC434</f>
        <v>23.349650348728289</v>
      </c>
      <c r="BD435" s="200">
        <f t="shared" ref="BD435" si="5362">BD432*BD434</f>
        <v>21.829930965451073</v>
      </c>
      <c r="BE435" s="200">
        <f t="shared" ref="BE435" si="5363">BE432*BE434</f>
        <v>20.2901817069408</v>
      </c>
      <c r="BF435" s="200">
        <f t="shared" ref="BF435" si="5364">BF432*BF434</f>
        <v>18.730112261973229</v>
      </c>
      <c r="BG435" s="200">
        <f t="shared" ref="BG435" si="5365">BG432*BG434</f>
        <v>17.149428140335594</v>
      </c>
      <c r="BH435" s="200">
        <f t="shared" ref="BH435" si="5366">BH432*BH434</f>
        <v>15.547830612642075</v>
      </c>
      <c r="BI435" s="200">
        <f t="shared" ref="BI435" si="5367">BI432*BI434</f>
        <v>13.925016649282561</v>
      </c>
      <c r="BJ435" s="200">
        <f t="shared" ref="BJ435" si="5368">BJ432*BJ434</f>
        <v>12.280678858492188</v>
      </c>
      <c r="BK435" s="200">
        <f t="shared" ref="BK435" si="5369">BK432*BK434</f>
        <v>10.614505423529002</v>
      </c>
    </row>
    <row r="436" spans="1:63" ht="7.8" x14ac:dyDescent="0.15">
      <c r="A436" s="206" t="s">
        <v>97</v>
      </c>
      <c r="B436" s="192"/>
      <c r="C436" s="192"/>
      <c r="D436" s="192"/>
      <c r="E436" s="192"/>
      <c r="F436" s="192"/>
      <c r="G436" s="192"/>
      <c r="H436" s="192"/>
      <c r="I436" s="192"/>
      <c r="J436" s="192"/>
      <c r="K436" s="192"/>
      <c r="L436" s="192"/>
      <c r="M436" s="192"/>
      <c r="N436" s="192"/>
      <c r="O436" s="192"/>
      <c r="P436" s="192"/>
      <c r="Q436" s="192"/>
      <c r="R436" s="192"/>
      <c r="S436" s="192"/>
      <c r="T436" s="192"/>
      <c r="U436" s="192"/>
      <c r="V436" s="192"/>
      <c r="W436" s="192"/>
      <c r="X436" s="192"/>
      <c r="Y436" s="192"/>
      <c r="Z436" s="192"/>
      <c r="AA436" s="192"/>
      <c r="AB436" s="192"/>
      <c r="AC436" s="192"/>
      <c r="AD436" s="192"/>
      <c r="AE436" s="192"/>
      <c r="AF436" s="192"/>
      <c r="AG436" s="192"/>
      <c r="AH436" s="192"/>
      <c r="AI436" s="192"/>
      <c r="AJ436" s="192"/>
      <c r="AK436" s="192"/>
      <c r="AL436" s="192"/>
      <c r="AM436" s="192"/>
      <c r="AN436" s="192"/>
      <c r="AO436" s="192"/>
      <c r="AP436" s="192"/>
      <c r="AQ436" s="192"/>
      <c r="AR436" s="192"/>
      <c r="AS436" s="192"/>
      <c r="AT436" s="192"/>
      <c r="AU436" s="192"/>
      <c r="AV436" s="192"/>
      <c r="AW436" s="192"/>
      <c r="AX436" s="192"/>
      <c r="AY436" s="223">
        <f>AY433*AY434</f>
        <v>152.92996579029858</v>
      </c>
      <c r="AZ436" s="200">
        <f>AZ433*AZ434</f>
        <v>155.13234846013611</v>
      </c>
      <c r="BA436" s="200">
        <f t="shared" ref="BA436:BK436" si="5370">BA433*BA434</f>
        <v>157.36644819339767</v>
      </c>
      <c r="BB436" s="200">
        <f t="shared" si="5370"/>
        <v>159.63272175544284</v>
      </c>
      <c r="BC436" s="200">
        <f t="shared" si="5370"/>
        <v>97.158979493774041</v>
      </c>
      <c r="BD436" s="200">
        <f t="shared" si="5370"/>
        <v>98.558190247208756</v>
      </c>
      <c r="BE436" s="200">
        <f t="shared" si="5370"/>
        <v>99.977551384506356</v>
      </c>
      <c r="BF436" s="200">
        <f t="shared" si="5370"/>
        <v>101.41735309638248</v>
      </c>
      <c r="BG436" s="200">
        <f t="shared" si="5370"/>
        <v>102.87788975266176</v>
      </c>
      <c r="BH436" s="200">
        <f t="shared" si="5370"/>
        <v>104.35945996246225</v>
      </c>
      <c r="BI436" s="200">
        <f t="shared" si="5370"/>
        <v>105.86236663524667</v>
      </c>
      <c r="BJ436" s="200">
        <f t="shared" si="5370"/>
        <v>107.38691704275254</v>
      </c>
      <c r="BK436" s="200">
        <f t="shared" si="5370"/>
        <v>108.93342288181447</v>
      </c>
    </row>
    <row r="437" spans="1:63" ht="7.8" x14ac:dyDescent="0.15">
      <c r="A437" s="208" t="s">
        <v>203</v>
      </c>
      <c r="B437" s="192"/>
      <c r="C437" s="192"/>
      <c r="D437" s="192"/>
      <c r="E437" s="192"/>
      <c r="F437" s="192"/>
      <c r="G437" s="192"/>
      <c r="H437" s="192"/>
      <c r="I437" s="192"/>
      <c r="J437" s="192"/>
      <c r="K437" s="192"/>
      <c r="L437" s="192"/>
      <c r="M437" s="192"/>
      <c r="N437" s="192"/>
      <c r="O437" s="192"/>
      <c r="P437" s="192"/>
      <c r="Q437" s="192"/>
      <c r="R437" s="192"/>
      <c r="S437" s="192"/>
      <c r="T437" s="192"/>
      <c r="U437" s="192"/>
      <c r="V437" s="192"/>
      <c r="W437" s="192"/>
      <c r="X437" s="192"/>
      <c r="Y437" s="192"/>
      <c r="Z437" s="192"/>
      <c r="AA437" s="192"/>
      <c r="AB437" s="192"/>
      <c r="AC437" s="192"/>
      <c r="AD437" s="192"/>
      <c r="AE437" s="192"/>
      <c r="AF437" s="192"/>
      <c r="AG437" s="192"/>
      <c r="AH437" s="192"/>
      <c r="AI437" s="192"/>
      <c r="AJ437" s="192"/>
      <c r="AK437" s="192"/>
      <c r="AL437" s="192"/>
      <c r="AM437" s="192"/>
      <c r="AN437" s="192"/>
      <c r="AO437" s="192"/>
      <c r="AP437" s="192"/>
      <c r="AQ437" s="192"/>
      <c r="AR437" s="192"/>
      <c r="AS437" s="192"/>
      <c r="AT437" s="192"/>
      <c r="AU437" s="192"/>
      <c r="AV437" s="192"/>
      <c r="AW437" s="192"/>
      <c r="AX437" s="192"/>
      <c r="AY437" s="224">
        <f>IF(AY429-101&lt;&gt;LoanSaleHeld,0,SUM($D436:AY436)*LoanSalePercent)</f>
        <v>0</v>
      </c>
      <c r="AZ437" s="225">
        <f>IF(AZ429-101&lt;&gt;LoanSaleHeld,0,SUM($D436:AZ436)*LoanSalePercent)</f>
        <v>0</v>
      </c>
      <c r="BA437" s="225">
        <f>IF(BA429-101&lt;&gt;LoanSaleHeld,0,SUM($D436:BA436)*LoanSalePercent)</f>
        <v>0</v>
      </c>
      <c r="BB437" s="225">
        <f>IF(BB429-101&lt;&gt;LoanSaleHeld,0,SUM($D436:BB436)*LoanSalePercent)</f>
        <v>250.02459367971011</v>
      </c>
      <c r="BC437" s="225">
        <f>IF(BC429-101&lt;&gt;LoanSaleHeld,0,SUM($D436:BC436)*LoanSalePercent)</f>
        <v>0</v>
      </c>
      <c r="BD437" s="225">
        <f>IF(BD429-101&lt;&gt;LoanSaleHeld,0,SUM($D436:BD436)*LoanSalePercent)</f>
        <v>0</v>
      </c>
      <c r="BE437" s="225">
        <f>IF(BE429-101&lt;&gt;LoanSaleHeld,0,SUM($D436:BE436)*LoanSalePercent)</f>
        <v>0</v>
      </c>
      <c r="BF437" s="225">
        <f>IF(BF429-101&lt;&gt;LoanSaleHeld,0,SUM($D436:BF436)*LoanSalePercent)</f>
        <v>0</v>
      </c>
      <c r="BG437" s="225">
        <f>IF(BG429-101&lt;&gt;LoanSaleHeld,0,SUM($D436:BG436)*LoanSalePercent)</f>
        <v>0</v>
      </c>
      <c r="BH437" s="225">
        <f>IF(BH429-101&lt;&gt;LoanSaleHeld,0,SUM($D436:BH436)*LoanSalePercent)</f>
        <v>0</v>
      </c>
      <c r="BI437" s="225">
        <f>IF(BI429-101&lt;&gt;LoanSaleHeld,0,SUM($D436:BI436)*LoanSalePercent)</f>
        <v>0</v>
      </c>
      <c r="BJ437" s="225">
        <f>IF(BJ429-101&lt;&gt;LoanSaleHeld,0,SUM($D436:BJ436)*LoanSalePercent)</f>
        <v>0</v>
      </c>
      <c r="BK437" s="225">
        <f>IF(BK429-101&lt;&gt;LoanSaleHeld,0,SUM($D436:BK436)*LoanSalePercent)</f>
        <v>0</v>
      </c>
    </row>
    <row r="438" spans="1:63" ht="7.8" x14ac:dyDescent="0.15">
      <c r="A438" s="204">
        <f t="shared" ref="A438" si="5371">A429+1</f>
        <v>49</v>
      </c>
      <c r="B438" s="192"/>
      <c r="C438" s="192"/>
      <c r="D438" s="192"/>
      <c r="E438" s="192"/>
      <c r="F438" s="192"/>
      <c r="G438" s="192"/>
      <c r="H438" s="192"/>
      <c r="I438" s="192"/>
      <c r="J438" s="192"/>
      <c r="K438" s="192"/>
      <c r="L438" s="192"/>
      <c r="M438" s="192"/>
      <c r="N438" s="192"/>
      <c r="O438" s="192"/>
      <c r="P438" s="192"/>
      <c r="Q438" s="192"/>
      <c r="R438" s="192"/>
      <c r="S438" s="192"/>
      <c r="T438" s="192"/>
      <c r="U438" s="192"/>
      <c r="V438" s="192"/>
      <c r="W438" s="192"/>
      <c r="X438" s="192"/>
      <c r="Y438" s="192"/>
      <c r="Z438" s="192"/>
      <c r="AA438" s="192"/>
      <c r="AB438" s="192"/>
      <c r="AC438" s="192"/>
      <c r="AD438" s="192"/>
      <c r="AE438" s="192"/>
      <c r="AF438" s="192"/>
      <c r="AG438" s="192"/>
      <c r="AH438" s="192"/>
      <c r="AI438" s="192"/>
      <c r="AJ438" s="192"/>
      <c r="AK438" s="192"/>
      <c r="AL438" s="192"/>
      <c r="AM438" s="192"/>
      <c r="AN438" s="192"/>
      <c r="AO438" s="192"/>
      <c r="AP438" s="192"/>
      <c r="AQ438" s="192"/>
      <c r="AR438" s="192"/>
      <c r="AS438" s="192"/>
      <c r="AT438" s="192"/>
      <c r="AU438" s="192"/>
      <c r="AV438" s="192"/>
      <c r="AW438" s="192"/>
      <c r="AX438" s="192"/>
      <c r="AY438" s="192"/>
      <c r="AZ438" s="195">
        <v>101</v>
      </c>
      <c r="BA438" s="196">
        <f t="shared" ref="BA438" si="5372">IF(BA439=0,0,AZ438+1)</f>
        <v>102</v>
      </c>
      <c r="BB438" s="196">
        <f t="shared" ref="BB438" si="5373">IF(BB439=0,0,BA438+1)</f>
        <v>103</v>
      </c>
      <c r="BC438" s="196">
        <f t="shared" ref="BC438" si="5374">IF(BC439=0,0,BB438+1)</f>
        <v>104</v>
      </c>
      <c r="BD438" s="196">
        <f t="shared" ref="BD438" si="5375">IF(BD439=0,0,BC438+1)</f>
        <v>105</v>
      </c>
      <c r="BE438" s="196">
        <f t="shared" ref="BE438" si="5376">IF(BE439=0,0,BD438+1)</f>
        <v>106</v>
      </c>
      <c r="BF438" s="196">
        <f t="shared" ref="BF438" si="5377">IF(BF439=0,0,BE438+1)</f>
        <v>107</v>
      </c>
      <c r="BG438" s="196">
        <f t="shared" ref="BG438" si="5378">IF(BG439=0,0,BF438+1)</f>
        <v>108</v>
      </c>
      <c r="BH438" s="196">
        <f t="shared" ref="BH438" si="5379">IF(BH439=0,0,BG438+1)</f>
        <v>109</v>
      </c>
      <c r="BI438" s="196">
        <f t="shared" ref="BI438" si="5380">IF(BI439=0,0,BH438+1)</f>
        <v>110</v>
      </c>
      <c r="BJ438" s="196">
        <f t="shared" ref="BJ438" si="5381">IF(BJ439=0,0,BI438+1)</f>
        <v>111</v>
      </c>
      <c r="BK438" s="196">
        <f t="shared" ref="BK438" si="5382">IF(BK439=0,0,BJ438+1)</f>
        <v>112</v>
      </c>
    </row>
    <row r="439" spans="1:63" ht="7.8" x14ac:dyDescent="0.15">
      <c r="A439" s="216" t="s">
        <v>178</v>
      </c>
      <c r="B439" s="192"/>
      <c r="C439" s="192"/>
      <c r="D439" s="192"/>
      <c r="E439" s="192"/>
      <c r="F439" s="192"/>
      <c r="G439" s="192"/>
      <c r="H439" s="192"/>
      <c r="I439" s="192"/>
      <c r="J439" s="192"/>
      <c r="K439" s="192"/>
      <c r="L439" s="192"/>
      <c r="M439" s="192"/>
      <c r="N439" s="192"/>
      <c r="O439" s="192"/>
      <c r="P439" s="192"/>
      <c r="Q439" s="192"/>
      <c r="R439" s="192"/>
      <c r="S439" s="192"/>
      <c r="T439" s="192"/>
      <c r="U439" s="192"/>
      <c r="V439" s="192"/>
      <c r="W439" s="192"/>
      <c r="X439" s="192"/>
      <c r="Y439" s="192"/>
      <c r="Z439" s="192"/>
      <c r="AA439" s="192"/>
      <c r="AB439" s="192"/>
      <c r="AC439" s="192"/>
      <c r="AD439" s="192"/>
      <c r="AE439" s="192"/>
      <c r="AF439" s="192"/>
      <c r="AG439" s="192"/>
      <c r="AH439" s="192"/>
      <c r="AI439" s="192"/>
      <c r="AJ439" s="192"/>
      <c r="AK439" s="192"/>
      <c r="AL439" s="192"/>
      <c r="AM439" s="192"/>
      <c r="AN439" s="192"/>
      <c r="AO439" s="192"/>
      <c r="AP439" s="192"/>
      <c r="AQ439" s="192"/>
      <c r="AR439" s="192"/>
      <c r="AS439" s="192"/>
      <c r="AT439" s="192"/>
      <c r="AU439" s="192"/>
      <c r="AV439" s="192"/>
      <c r="AW439" s="192"/>
      <c r="AX439" s="192"/>
      <c r="AY439" s="192"/>
      <c r="AZ439" s="217">
        <f>LoanSize</f>
        <v>25</v>
      </c>
      <c r="BA439" s="215">
        <f>IF(AZ439-AZ442&lt;=0.1,0,AZ439-AZ442)</f>
        <v>23.79027212253634</v>
      </c>
      <c r="BB439" s="215">
        <f t="shared" ref="BB439:BK439" si="5383">IF(BA439-BA442&lt;=0.1,0,BA439-BA442)</f>
        <v>22.56189427362845</v>
      </c>
      <c r="BC439" s="215">
        <f t="shared" si="5383"/>
        <v>21.314578932883229</v>
      </c>
      <c r="BD439" s="215">
        <f t="shared" si="5383"/>
        <v>20.048034147301522</v>
      </c>
      <c r="BE439" s="215">
        <f t="shared" si="5383"/>
        <v>18.761963462942095</v>
      </c>
      <c r="BF439" s="215">
        <f t="shared" si="5383"/>
        <v>17.456065855532128</v>
      </c>
      <c r="BG439" s="215">
        <f t="shared" si="5383"/>
        <v>16.130035660007923</v>
      </c>
      <c r="BH439" s="215">
        <f t="shared" si="5383"/>
        <v>14.783562498969387</v>
      </c>
      <c r="BI439" s="215">
        <f t="shared" si="5383"/>
        <v>13.416331210031506</v>
      </c>
      <c r="BJ439" s="215">
        <f t="shared" si="5383"/>
        <v>12.028021772055833</v>
      </c>
      <c r="BK439" s="215">
        <f t="shared" si="5383"/>
        <v>10.618309230244702</v>
      </c>
    </row>
    <row r="440" spans="1:63" ht="7.8" x14ac:dyDescent="0.15">
      <c r="A440" s="218" t="s">
        <v>179</v>
      </c>
      <c r="B440" s="192"/>
      <c r="C440" s="192"/>
      <c r="D440" s="192"/>
      <c r="E440" s="192"/>
      <c r="F440" s="192"/>
      <c r="G440" s="192"/>
      <c r="H440" s="192"/>
      <c r="I440" s="192"/>
      <c r="J440" s="192"/>
      <c r="K440" s="192"/>
      <c r="L440" s="192"/>
      <c r="M440" s="192"/>
      <c r="N440" s="192"/>
      <c r="O440" s="192"/>
      <c r="P440" s="192"/>
      <c r="Q440" s="192"/>
      <c r="R440" s="192"/>
      <c r="S440" s="192"/>
      <c r="T440" s="192"/>
      <c r="U440" s="192"/>
      <c r="V440" s="192"/>
      <c r="W440" s="192"/>
      <c r="X440" s="192"/>
      <c r="Y440" s="192"/>
      <c r="Z440" s="192"/>
      <c r="AA440" s="192"/>
      <c r="AB440" s="192"/>
      <c r="AC440" s="192"/>
      <c r="AD440" s="192"/>
      <c r="AE440" s="192"/>
      <c r="AF440" s="192"/>
      <c r="AG440" s="192"/>
      <c r="AH440" s="192"/>
      <c r="AI440" s="192"/>
      <c r="AJ440" s="192"/>
      <c r="AK440" s="192"/>
      <c r="AL440" s="192"/>
      <c r="AM440" s="192"/>
      <c r="AN440" s="192"/>
      <c r="AO440" s="192"/>
      <c r="AP440" s="192"/>
      <c r="AQ440" s="192"/>
      <c r="AR440" s="192"/>
      <c r="AS440" s="192"/>
      <c r="AT440" s="192"/>
      <c r="AU440" s="192"/>
      <c r="AV440" s="192"/>
      <c r="AW440" s="192"/>
      <c r="AX440" s="192"/>
      <c r="AY440" s="192"/>
      <c r="AZ440" s="219">
        <f>IF(AZ439=0,0,PMT(INDEX(LoanCohortRate,1),LoanTerm, -LoanSize))</f>
        <v>1.5951445441303251</v>
      </c>
      <c r="BA440" s="222">
        <f t="shared" ref="BA440" si="5384">IF(BA439=0,0, AZ440)</f>
        <v>1.5951445441303251</v>
      </c>
      <c r="BB440" s="222">
        <f t="shared" ref="BB440" si="5385">IF(BB439=0,0, BA440)</f>
        <v>1.5951445441303251</v>
      </c>
      <c r="BC440" s="222">
        <f t="shared" ref="BC440" si="5386">IF(BC439=0,0, BB440)</f>
        <v>1.5951445441303251</v>
      </c>
      <c r="BD440" s="222">
        <f t="shared" ref="BD440" si="5387">IF(BD439=0,0, BC440)</f>
        <v>1.5951445441303251</v>
      </c>
      <c r="BE440" s="222">
        <f t="shared" ref="BE440" si="5388">IF(BE439=0,0, BD440)</f>
        <v>1.5951445441303251</v>
      </c>
      <c r="BF440" s="222">
        <f t="shared" ref="BF440" si="5389">IF(BF439=0,0, BE440)</f>
        <v>1.5951445441303251</v>
      </c>
      <c r="BG440" s="222">
        <f t="shared" ref="BG440" si="5390">IF(BG439=0,0, BF440)</f>
        <v>1.5951445441303251</v>
      </c>
      <c r="BH440" s="222">
        <f t="shared" ref="BH440" si="5391">IF(BH439=0,0, BG440)</f>
        <v>1.5951445441303251</v>
      </c>
      <c r="BI440" s="222">
        <f t="shared" ref="BI440" si="5392">IF(BI439=0,0, BH440)</f>
        <v>1.5951445441303251</v>
      </c>
      <c r="BJ440" s="222">
        <f t="shared" ref="BJ440" si="5393">IF(BJ439=0,0, BI440)</f>
        <v>1.5951445441303251</v>
      </c>
      <c r="BK440" s="222">
        <f t="shared" ref="BK440" si="5394">IF(BK439=0,0, BJ440)</f>
        <v>1.5951445441303251</v>
      </c>
    </row>
    <row r="441" spans="1:63" ht="7.8" x14ac:dyDescent="0.15">
      <c r="A441" s="218" t="s">
        <v>180</v>
      </c>
      <c r="B441" s="192"/>
      <c r="C441" s="192"/>
      <c r="D441" s="192"/>
      <c r="E441" s="192"/>
      <c r="F441" s="192"/>
      <c r="G441" s="192"/>
      <c r="H441" s="192"/>
      <c r="I441" s="192"/>
      <c r="J441" s="192"/>
      <c r="K441" s="192"/>
      <c r="L441" s="192"/>
      <c r="M441" s="192"/>
      <c r="N441" s="192"/>
      <c r="O441" s="192"/>
      <c r="P441" s="192"/>
      <c r="Q441" s="192"/>
      <c r="R441" s="192"/>
      <c r="S441" s="192"/>
      <c r="T441" s="192"/>
      <c r="U441" s="192"/>
      <c r="V441" s="192"/>
      <c r="W441" s="192"/>
      <c r="X441" s="192"/>
      <c r="Y441" s="192"/>
      <c r="Z441" s="192"/>
      <c r="AA441" s="192"/>
      <c r="AB441" s="192"/>
      <c r="AC441" s="192"/>
      <c r="AD441" s="192"/>
      <c r="AE441" s="192"/>
      <c r="AF441" s="192"/>
      <c r="AG441" s="192"/>
      <c r="AH441" s="192"/>
      <c r="AI441" s="192"/>
      <c r="AJ441" s="192"/>
      <c r="AK441" s="192"/>
      <c r="AL441" s="192"/>
      <c r="AM441" s="192"/>
      <c r="AN441" s="192"/>
      <c r="AO441" s="192"/>
      <c r="AP441" s="192"/>
      <c r="AQ441" s="192"/>
      <c r="AR441" s="192"/>
      <c r="AS441" s="192"/>
      <c r="AT441" s="192"/>
      <c r="AU441" s="192"/>
      <c r="AV441" s="192"/>
      <c r="AW441" s="192"/>
      <c r="AX441" s="192"/>
      <c r="AY441" s="192"/>
      <c r="AZ441" s="220" cm="1">
        <f t="array" ref="AZ441">AZ439*INDEX(LoanCohortRate,$A438)</f>
        <v>0.38541666666666669</v>
      </c>
      <c r="BA441" s="221" cm="1">
        <f t="array" ref="BA441">BA439*INDEX(LoanCohortRate,$A438)</f>
        <v>0.36676669522243527</v>
      </c>
      <c r="BB441" s="221" cm="1">
        <f t="array" ref="BB441">BB439*INDEX(LoanCohortRate,$A438)</f>
        <v>0.34782920338510526</v>
      </c>
      <c r="BC441" s="221" cm="1">
        <f t="array" ref="BC441">BC439*INDEX(LoanCohortRate,$A438)</f>
        <v>0.32859975854861645</v>
      </c>
      <c r="BD441" s="221" cm="1">
        <f t="array" ref="BD441">BD439*INDEX(LoanCohortRate,$A438)</f>
        <v>0.30907385977089846</v>
      </c>
      <c r="BE441" s="221" cm="1">
        <f t="array" ref="BE441">BE439*INDEX(LoanCohortRate,$A438)</f>
        <v>0.28924693672035728</v>
      </c>
      <c r="BF441" s="221" cm="1">
        <f t="array" ref="BF441">BF439*INDEX(LoanCohortRate,$A438)</f>
        <v>0.26911434860612032</v>
      </c>
      <c r="BG441" s="221" cm="1">
        <f t="array" ref="BG441">BG439*INDEX(LoanCohortRate,$A438)</f>
        <v>0.24867138309178882</v>
      </c>
      <c r="BH441" s="221" cm="1">
        <f t="array" ref="BH441">BH439*INDEX(LoanCohortRate,$A438)</f>
        <v>0.22791325519244471</v>
      </c>
      <c r="BI441" s="221" cm="1">
        <f t="array" ref="BI441">BI439*INDEX(LoanCohortRate,$A438)</f>
        <v>0.20683510615465239</v>
      </c>
      <c r="BJ441" s="221" cm="1">
        <f t="array" ref="BJ441">BJ439*INDEX(LoanCohortRate,$A438)</f>
        <v>0.1854320023191941</v>
      </c>
      <c r="BK441" s="221" cm="1">
        <f t="array" ref="BK441">BK439*INDEX(LoanCohortRate,$A438)</f>
        <v>0.1636989339662725</v>
      </c>
    </row>
    <row r="442" spans="1:63" ht="7.8" x14ac:dyDescent="0.15">
      <c r="A442" s="218" t="s">
        <v>177</v>
      </c>
      <c r="B442" s="192"/>
      <c r="C442" s="192"/>
      <c r="D442" s="192"/>
      <c r="E442" s="192"/>
      <c r="F442" s="192"/>
      <c r="G442" s="192"/>
      <c r="H442" s="192"/>
      <c r="I442" s="192"/>
      <c r="J442" s="192"/>
      <c r="K442" s="192"/>
      <c r="L442" s="192"/>
      <c r="M442" s="192"/>
      <c r="N442" s="192"/>
      <c r="O442" s="192"/>
      <c r="P442" s="192"/>
      <c r="Q442" s="192"/>
      <c r="R442" s="192"/>
      <c r="S442" s="192"/>
      <c r="T442" s="192"/>
      <c r="U442" s="192"/>
      <c r="V442" s="192"/>
      <c r="W442" s="192"/>
      <c r="X442" s="192"/>
      <c r="Y442" s="192"/>
      <c r="Z442" s="192"/>
      <c r="AA442" s="192"/>
      <c r="AB442" s="192"/>
      <c r="AC442" s="192"/>
      <c r="AD442" s="192"/>
      <c r="AE442" s="192"/>
      <c r="AF442" s="192"/>
      <c r="AG442" s="192"/>
      <c r="AH442" s="192"/>
      <c r="AI442" s="192"/>
      <c r="AJ442" s="192"/>
      <c r="AK442" s="192"/>
      <c r="AL442" s="192"/>
      <c r="AM442" s="192"/>
      <c r="AN442" s="192"/>
      <c r="AO442" s="192"/>
      <c r="AP442" s="192"/>
      <c r="AQ442" s="192"/>
      <c r="AR442" s="192"/>
      <c r="AS442" s="192"/>
      <c r="AT442" s="192"/>
      <c r="AU442" s="192"/>
      <c r="AV442" s="192"/>
      <c r="AW442" s="192"/>
      <c r="AX442" s="192"/>
      <c r="AY442" s="192"/>
      <c r="AZ442" s="219">
        <f>AZ440-AZ441</f>
        <v>1.2097278774636584</v>
      </c>
      <c r="BA442" s="222">
        <f t="shared" ref="BA442:BK442" si="5395">BA440-BA441</f>
        <v>1.2283778489078898</v>
      </c>
      <c r="BB442" s="222">
        <f t="shared" si="5395"/>
        <v>1.24731534074522</v>
      </c>
      <c r="BC442" s="222">
        <f t="shared" si="5395"/>
        <v>1.2665447855817087</v>
      </c>
      <c r="BD442" s="222">
        <f t="shared" si="5395"/>
        <v>1.2860706843594267</v>
      </c>
      <c r="BE442" s="222">
        <f t="shared" si="5395"/>
        <v>1.305897607409968</v>
      </c>
      <c r="BF442" s="222">
        <f t="shared" si="5395"/>
        <v>1.3260301955242049</v>
      </c>
      <c r="BG442" s="222">
        <f t="shared" si="5395"/>
        <v>1.3464731610385363</v>
      </c>
      <c r="BH442" s="222">
        <f t="shared" si="5395"/>
        <v>1.3672312889378804</v>
      </c>
      <c r="BI442" s="222">
        <f t="shared" si="5395"/>
        <v>1.3883094379756726</v>
      </c>
      <c r="BJ442" s="222">
        <f t="shared" si="5395"/>
        <v>1.4097125418111309</v>
      </c>
      <c r="BK442" s="222">
        <f t="shared" si="5395"/>
        <v>1.4314456101640527</v>
      </c>
    </row>
    <row r="443" spans="1:63" ht="7.8" x14ac:dyDescent="0.15">
      <c r="A443" s="205" t="s">
        <v>7</v>
      </c>
      <c r="B443" s="192"/>
      <c r="C443" s="192"/>
      <c r="D443" s="192"/>
      <c r="E443" s="192"/>
      <c r="F443" s="192"/>
      <c r="G443" s="192"/>
      <c r="H443" s="192"/>
      <c r="I443" s="192"/>
      <c r="J443" s="192"/>
      <c r="K443" s="192"/>
      <c r="L443" s="192"/>
      <c r="M443" s="192"/>
      <c r="N443" s="192"/>
      <c r="O443" s="192"/>
      <c r="P443" s="192"/>
      <c r="Q443" s="192"/>
      <c r="R443" s="192"/>
      <c r="S443" s="192"/>
      <c r="T443" s="192"/>
      <c r="U443" s="192"/>
      <c r="V443" s="192"/>
      <c r="W443" s="192"/>
      <c r="X443" s="192"/>
      <c r="Y443" s="192"/>
      <c r="Z443" s="192"/>
      <c r="AA443" s="192"/>
      <c r="AB443" s="192"/>
      <c r="AC443" s="192"/>
      <c r="AD443" s="192"/>
      <c r="AE443" s="192"/>
      <c r="AF443" s="192"/>
      <c r="AG443" s="192"/>
      <c r="AH443" s="192"/>
      <c r="AI443" s="192"/>
      <c r="AJ443" s="192"/>
      <c r="AK443" s="192"/>
      <c r="AL443" s="192"/>
      <c r="AM443" s="192"/>
      <c r="AN443" s="192"/>
      <c r="AO443" s="192"/>
      <c r="AP443" s="192"/>
      <c r="AQ443" s="192"/>
      <c r="AR443" s="192"/>
      <c r="AS443" s="192"/>
      <c r="AT443" s="192"/>
      <c r="AU443" s="192"/>
      <c r="AV443" s="192"/>
      <c r="AW443" s="192"/>
      <c r="AX443" s="192"/>
      <c r="AY443" s="192"/>
      <c r="AZ443" s="214" cm="1">
        <f t="array" ref="AZ443">INDEX(LoanOriginations,$A438)</f>
        <v>127.0489161095382</v>
      </c>
      <c r="BA443" s="199">
        <f t="shared" ref="BA443:BK443" si="5396">AZ443*(1-MitigateDelinquency*MitigateChargeoff)  *  IF(BA438=0,0,IF(BA438-102=LoanSaleHeld,0.6,1))</f>
        <v>126.92186719342865</v>
      </c>
      <c r="BB443" s="199">
        <f t="shared" si="5396"/>
        <v>126.79494532623522</v>
      </c>
      <c r="BC443" s="199">
        <f t="shared" si="5396"/>
        <v>126.66815038090898</v>
      </c>
      <c r="BD443" s="199">
        <f t="shared" si="5396"/>
        <v>75.924889338316845</v>
      </c>
      <c r="BE443" s="199">
        <f t="shared" si="5396"/>
        <v>75.848964448978535</v>
      </c>
      <c r="BF443" s="199">
        <f t="shared" si="5396"/>
        <v>75.773115484529555</v>
      </c>
      <c r="BG443" s="199">
        <f t="shared" si="5396"/>
        <v>75.697342369045032</v>
      </c>
      <c r="BH443" s="199">
        <f t="shared" si="5396"/>
        <v>75.621645026675992</v>
      </c>
      <c r="BI443" s="199">
        <f t="shared" si="5396"/>
        <v>75.54602338164932</v>
      </c>
      <c r="BJ443" s="199">
        <f t="shared" si="5396"/>
        <v>75.470477358267672</v>
      </c>
      <c r="BK443" s="199">
        <f t="shared" si="5396"/>
        <v>75.395006880909406</v>
      </c>
    </row>
    <row r="444" spans="1:63" ht="7.8" x14ac:dyDescent="0.15">
      <c r="A444" s="207" t="s">
        <v>96</v>
      </c>
      <c r="B444" s="192"/>
      <c r="C444" s="192"/>
      <c r="D444" s="192"/>
      <c r="E444" s="192"/>
      <c r="F444" s="192"/>
      <c r="G444" s="192"/>
      <c r="H444" s="192"/>
      <c r="I444" s="192"/>
      <c r="J444" s="192"/>
      <c r="K444" s="192"/>
      <c r="L444" s="192"/>
      <c r="M444" s="192"/>
      <c r="N444" s="192"/>
      <c r="O444" s="192"/>
      <c r="P444" s="192"/>
      <c r="Q444" s="192"/>
      <c r="R444" s="192"/>
      <c r="S444" s="192"/>
      <c r="T444" s="192"/>
      <c r="U444" s="192"/>
      <c r="V444" s="192"/>
      <c r="W444" s="192"/>
      <c r="X444" s="192"/>
      <c r="Y444" s="192"/>
      <c r="Z444" s="192"/>
      <c r="AA444" s="192"/>
      <c r="AB444" s="192"/>
      <c r="AC444" s="192"/>
      <c r="AD444" s="192"/>
      <c r="AE444" s="192"/>
      <c r="AF444" s="192"/>
      <c r="AG444" s="192"/>
      <c r="AH444" s="192"/>
      <c r="AI444" s="192"/>
      <c r="AJ444" s="192"/>
      <c r="AK444" s="192"/>
      <c r="AL444" s="192"/>
      <c r="AM444" s="192"/>
      <c r="AN444" s="192"/>
      <c r="AO444" s="192"/>
      <c r="AP444" s="192"/>
      <c r="AQ444" s="192"/>
      <c r="AR444" s="192"/>
      <c r="AS444" s="192"/>
      <c r="AT444" s="192"/>
      <c r="AU444" s="192"/>
      <c r="AV444" s="192"/>
      <c r="AW444" s="192"/>
      <c r="AX444" s="192"/>
      <c r="AY444" s="192"/>
      <c r="AZ444" s="223">
        <f>AZ441*AZ443</f>
        <v>48.96676975055118</v>
      </c>
      <c r="BA444" s="200">
        <f t="shared" ref="BA444" si="5397">BA441*BA443</f>
        <v>46.550713781994652</v>
      </c>
      <c r="BB444" s="200">
        <f t="shared" ref="BB444" si="5398">BB441*BB443</f>
        <v>44.10298482608237</v>
      </c>
      <c r="BC444" s="200">
        <f t="shared" ref="BC444" si="5399">BC441*BC443</f>
        <v>41.623123630966532</v>
      </c>
      <c r="BD444" s="200">
        <f t="shared" ref="BD444" si="5400">BD441*BD443</f>
        <v>23.466398600471923</v>
      </c>
      <c r="BE444" s="200">
        <f t="shared" ref="BE444" si="5401">BE441*BE443</f>
        <v>21.939080620278325</v>
      </c>
      <c r="BF444" s="200">
        <f t="shared" ref="BF444" si="5402">BF441*BF443</f>
        <v>20.391632615475501</v>
      </c>
      <c r="BG444" s="200">
        <f t="shared" ref="BG444" si="5403">BG441*BG443</f>
        <v>18.823762823283094</v>
      </c>
      <c r="BH444" s="200">
        <f t="shared" ref="BH444" si="5404">BH441*BH443</f>
        <v>17.235175281037272</v>
      </c>
      <c r="BI444" s="200">
        <f t="shared" ref="BI444" si="5405">BI441*BI443</f>
        <v>15.625569765705288</v>
      </c>
      <c r="BJ444" s="200">
        <f t="shared" ref="BJ444" si="5406">BJ441*BJ443</f>
        <v>13.994641732528978</v>
      </c>
      <c r="BK444" s="200">
        <f t="shared" ref="BK444" si="5407">BK441*BK443</f>
        <v>12.34208225278465</v>
      </c>
    </row>
    <row r="445" spans="1:63" ht="7.8" x14ac:dyDescent="0.15">
      <c r="A445" s="206" t="s">
        <v>97</v>
      </c>
      <c r="B445" s="192"/>
      <c r="C445" s="192"/>
      <c r="D445" s="192"/>
      <c r="E445" s="192"/>
      <c r="F445" s="192"/>
      <c r="G445" s="192"/>
      <c r="H445" s="192"/>
      <c r="I445" s="192"/>
      <c r="J445" s="192"/>
      <c r="K445" s="192"/>
      <c r="L445" s="192"/>
      <c r="M445" s="192"/>
      <c r="N445" s="192"/>
      <c r="O445" s="192"/>
      <c r="P445" s="192"/>
      <c r="Q445" s="192"/>
      <c r="R445" s="192"/>
      <c r="S445" s="192"/>
      <c r="T445" s="192"/>
      <c r="U445" s="192"/>
      <c r="V445" s="192"/>
      <c r="W445" s="192"/>
      <c r="X445" s="192"/>
      <c r="Y445" s="192"/>
      <c r="Z445" s="192"/>
      <c r="AA445" s="192"/>
      <c r="AB445" s="192"/>
      <c r="AC445" s="192"/>
      <c r="AD445" s="192"/>
      <c r="AE445" s="192"/>
      <c r="AF445" s="192"/>
      <c r="AG445" s="192"/>
      <c r="AH445" s="192"/>
      <c r="AI445" s="192"/>
      <c r="AJ445" s="192"/>
      <c r="AK445" s="192"/>
      <c r="AL445" s="192"/>
      <c r="AM445" s="192"/>
      <c r="AN445" s="192"/>
      <c r="AO445" s="192"/>
      <c r="AP445" s="192"/>
      <c r="AQ445" s="192"/>
      <c r="AR445" s="192"/>
      <c r="AS445" s="192"/>
      <c r="AT445" s="192"/>
      <c r="AU445" s="192"/>
      <c r="AV445" s="192"/>
      <c r="AW445" s="192"/>
      <c r="AX445" s="192"/>
      <c r="AY445" s="192"/>
      <c r="AZ445" s="223">
        <f>AZ442*AZ443</f>
        <v>153.69461561925004</v>
      </c>
      <c r="BA445" s="200">
        <f>BA442*BA443</f>
        <v>155.90801020243677</v>
      </c>
      <c r="BB445" s="200">
        <f t="shared" ref="BB445:BK445" si="5408">BB442*BB443</f>
        <v>158.15328043436463</v>
      </c>
      <c r="BC445" s="200">
        <f t="shared" si="5408"/>
        <v>160.43088536421999</v>
      </c>
      <c r="BD445" s="200">
        <f t="shared" si="5408"/>
        <v>97.64477439124289</v>
      </c>
      <c r="BE445" s="200">
        <f t="shared" si="5408"/>
        <v>99.050981198444788</v>
      </c>
      <c r="BF445" s="200">
        <f t="shared" si="5408"/>
        <v>100.47743914142887</v>
      </c>
      <c r="BG445" s="200">
        <f t="shared" si="5408"/>
        <v>101.92443986186439</v>
      </c>
      <c r="BH445" s="200">
        <f t="shared" si="5408"/>
        <v>103.39227920142507</v>
      </c>
      <c r="BI445" s="200">
        <f t="shared" si="5408"/>
        <v>104.88125726227459</v>
      </c>
      <c r="BJ445" s="200">
        <f t="shared" si="5408"/>
        <v>106.39167846842292</v>
      </c>
      <c r="BK445" s="200">
        <f t="shared" si="5408"/>
        <v>107.92385162796631</v>
      </c>
    </row>
    <row r="446" spans="1:63" ht="7.8" x14ac:dyDescent="0.15">
      <c r="A446" s="208" t="s">
        <v>203</v>
      </c>
      <c r="B446" s="192"/>
      <c r="C446" s="192"/>
      <c r="D446" s="192"/>
      <c r="E446" s="192"/>
      <c r="F446" s="192"/>
      <c r="G446" s="192"/>
      <c r="H446" s="192"/>
      <c r="I446" s="192"/>
      <c r="J446" s="192"/>
      <c r="K446" s="192"/>
      <c r="L446" s="192"/>
      <c r="M446" s="192"/>
      <c r="N446" s="192"/>
      <c r="O446" s="192"/>
      <c r="P446" s="192"/>
      <c r="Q446" s="192"/>
      <c r="R446" s="192"/>
      <c r="S446" s="192"/>
      <c r="T446" s="192"/>
      <c r="U446" s="192"/>
      <c r="V446" s="192"/>
      <c r="W446" s="192"/>
      <c r="X446" s="192"/>
      <c r="Y446" s="192"/>
      <c r="Z446" s="192"/>
      <c r="AA446" s="192"/>
      <c r="AB446" s="192"/>
      <c r="AC446" s="192"/>
      <c r="AD446" s="192"/>
      <c r="AE446" s="192"/>
      <c r="AF446" s="192"/>
      <c r="AG446" s="192"/>
      <c r="AH446" s="192"/>
      <c r="AI446" s="192"/>
      <c r="AJ446" s="192"/>
      <c r="AK446" s="192"/>
      <c r="AL446" s="192"/>
      <c r="AM446" s="192"/>
      <c r="AN446" s="192"/>
      <c r="AO446" s="192"/>
      <c r="AP446" s="192"/>
      <c r="AQ446" s="192"/>
      <c r="AR446" s="192"/>
      <c r="AS446" s="192"/>
      <c r="AT446" s="192"/>
      <c r="AU446" s="192"/>
      <c r="AV446" s="192"/>
      <c r="AW446" s="192"/>
      <c r="AX446" s="192"/>
      <c r="AY446" s="192"/>
      <c r="AZ446" s="224">
        <f>IF(AZ438-101&lt;&gt;LoanSaleHeld,0,SUM($D445:AZ445)*LoanSalePercent)</f>
        <v>0</v>
      </c>
      <c r="BA446" s="225">
        <f>IF(BA438-101&lt;&gt;LoanSaleHeld,0,SUM($D445:BA445)*LoanSalePercent)</f>
        <v>0</v>
      </c>
      <c r="BB446" s="225">
        <f>IF(BB438-101&lt;&gt;LoanSaleHeld,0,SUM($D445:BB445)*LoanSalePercent)</f>
        <v>0</v>
      </c>
      <c r="BC446" s="225">
        <f>IF(BC438-101&lt;&gt;LoanSaleHeld,0,SUM($D445:BC445)*LoanSalePercent)</f>
        <v>251.27471664810861</v>
      </c>
      <c r="BD446" s="225">
        <f>IF(BD438-101&lt;&gt;LoanSaleHeld,0,SUM($D445:BD445)*LoanSalePercent)</f>
        <v>0</v>
      </c>
      <c r="BE446" s="225">
        <f>IF(BE438-101&lt;&gt;LoanSaleHeld,0,SUM($D445:BE445)*LoanSalePercent)</f>
        <v>0</v>
      </c>
      <c r="BF446" s="225">
        <f>IF(BF438-101&lt;&gt;LoanSaleHeld,0,SUM($D445:BF445)*LoanSalePercent)</f>
        <v>0</v>
      </c>
      <c r="BG446" s="225">
        <f>IF(BG438-101&lt;&gt;LoanSaleHeld,0,SUM($D445:BG445)*LoanSalePercent)</f>
        <v>0</v>
      </c>
      <c r="BH446" s="225">
        <f>IF(BH438-101&lt;&gt;LoanSaleHeld,0,SUM($D445:BH445)*LoanSalePercent)</f>
        <v>0</v>
      </c>
      <c r="BI446" s="225">
        <f>IF(BI438-101&lt;&gt;LoanSaleHeld,0,SUM($D445:BI445)*LoanSalePercent)</f>
        <v>0</v>
      </c>
      <c r="BJ446" s="225">
        <f>IF(BJ438-101&lt;&gt;LoanSaleHeld,0,SUM($D445:BJ445)*LoanSalePercent)</f>
        <v>0</v>
      </c>
      <c r="BK446" s="225">
        <f>IF(BK438-101&lt;&gt;LoanSaleHeld,0,SUM($D445:BK445)*LoanSalePercent)</f>
        <v>0</v>
      </c>
    </row>
    <row r="447" spans="1:63" ht="7.8" x14ac:dyDescent="0.15">
      <c r="A447" s="204">
        <f t="shared" ref="A447" si="5409">A438+1</f>
        <v>50</v>
      </c>
      <c r="B447" s="192"/>
      <c r="C447" s="192"/>
      <c r="D447" s="192"/>
      <c r="E447" s="192"/>
      <c r="F447" s="192"/>
      <c r="G447" s="192"/>
      <c r="H447" s="192"/>
      <c r="I447" s="192"/>
      <c r="J447" s="192"/>
      <c r="K447" s="192"/>
      <c r="L447" s="192"/>
      <c r="M447" s="192"/>
      <c r="N447" s="192"/>
      <c r="O447" s="192"/>
      <c r="P447" s="192"/>
      <c r="Q447" s="192"/>
      <c r="R447" s="192"/>
      <c r="S447" s="192"/>
      <c r="T447" s="192"/>
      <c r="U447" s="192"/>
      <c r="V447" s="192"/>
      <c r="W447" s="192"/>
      <c r="X447" s="192"/>
      <c r="Y447" s="192"/>
      <c r="Z447" s="192"/>
      <c r="AA447" s="192"/>
      <c r="AB447" s="192"/>
      <c r="AC447" s="192"/>
      <c r="AD447" s="192"/>
      <c r="AE447" s="192"/>
      <c r="AF447" s="192"/>
      <c r="AG447" s="192"/>
      <c r="AH447" s="192"/>
      <c r="AI447" s="192"/>
      <c r="AJ447" s="192"/>
      <c r="AK447" s="192"/>
      <c r="AL447" s="192"/>
      <c r="AM447" s="192"/>
      <c r="AN447" s="192"/>
      <c r="AO447" s="192"/>
      <c r="AP447" s="192"/>
      <c r="AQ447" s="192"/>
      <c r="AR447" s="192"/>
      <c r="AS447" s="192"/>
      <c r="AT447" s="192"/>
      <c r="AU447" s="192"/>
      <c r="AV447" s="192"/>
      <c r="AW447" s="192"/>
      <c r="AX447" s="192"/>
      <c r="AY447" s="192"/>
      <c r="AZ447" s="192"/>
      <c r="BA447" s="195">
        <v>101</v>
      </c>
      <c r="BB447" s="196">
        <f t="shared" ref="BB447" si="5410">IF(BB448=0,0,BA447+1)</f>
        <v>102</v>
      </c>
      <c r="BC447" s="196">
        <f t="shared" ref="BC447" si="5411">IF(BC448=0,0,BB447+1)</f>
        <v>103</v>
      </c>
      <c r="BD447" s="196">
        <f t="shared" ref="BD447" si="5412">IF(BD448=0,0,BC447+1)</f>
        <v>104</v>
      </c>
      <c r="BE447" s="196">
        <f t="shared" ref="BE447" si="5413">IF(BE448=0,0,BD447+1)</f>
        <v>105</v>
      </c>
      <c r="BF447" s="196">
        <f t="shared" ref="BF447" si="5414">IF(BF448=0,0,BE447+1)</f>
        <v>106</v>
      </c>
      <c r="BG447" s="196">
        <f t="shared" ref="BG447" si="5415">IF(BG448=0,0,BF447+1)</f>
        <v>107</v>
      </c>
      <c r="BH447" s="196">
        <f t="shared" ref="BH447" si="5416">IF(BH448=0,0,BG447+1)</f>
        <v>108</v>
      </c>
      <c r="BI447" s="196">
        <f t="shared" ref="BI447" si="5417">IF(BI448=0,0,BH447+1)</f>
        <v>109</v>
      </c>
      <c r="BJ447" s="196">
        <f t="shared" ref="BJ447" si="5418">IF(BJ448=0,0,BI447+1)</f>
        <v>110</v>
      </c>
      <c r="BK447" s="196">
        <f t="shared" ref="BK447" si="5419">IF(BK448=0,0,BJ447+1)</f>
        <v>111</v>
      </c>
    </row>
    <row r="448" spans="1:63" ht="7.8" x14ac:dyDescent="0.15">
      <c r="A448" s="216" t="s">
        <v>178</v>
      </c>
      <c r="B448" s="192"/>
      <c r="C448" s="192"/>
      <c r="D448" s="192"/>
      <c r="E448" s="192"/>
      <c r="F448" s="192"/>
      <c r="G448" s="192"/>
      <c r="H448" s="192"/>
      <c r="I448" s="192"/>
      <c r="J448" s="192"/>
      <c r="K448" s="192"/>
      <c r="L448" s="192"/>
      <c r="M448" s="192"/>
      <c r="N448" s="192"/>
      <c r="O448" s="192"/>
      <c r="P448" s="192"/>
      <c r="Q448" s="192"/>
      <c r="R448" s="192"/>
      <c r="S448" s="192"/>
      <c r="T448" s="192"/>
      <c r="U448" s="192"/>
      <c r="V448" s="192"/>
      <c r="W448" s="192"/>
      <c r="X448" s="192"/>
      <c r="Y448" s="192"/>
      <c r="Z448" s="192"/>
      <c r="AA448" s="192"/>
      <c r="AB448" s="192"/>
      <c r="AC448" s="192"/>
      <c r="AD448" s="192"/>
      <c r="AE448" s="192"/>
      <c r="AF448" s="192"/>
      <c r="AG448" s="192"/>
      <c r="AH448" s="192"/>
      <c r="AI448" s="192"/>
      <c r="AJ448" s="192"/>
      <c r="AK448" s="192"/>
      <c r="AL448" s="192"/>
      <c r="AM448" s="192"/>
      <c r="AN448" s="192"/>
      <c r="AO448" s="192"/>
      <c r="AP448" s="192"/>
      <c r="AQ448" s="192"/>
      <c r="AR448" s="192"/>
      <c r="AS448" s="192"/>
      <c r="AT448" s="192"/>
      <c r="AU448" s="192"/>
      <c r="AV448" s="192"/>
      <c r="AW448" s="192"/>
      <c r="AX448" s="192"/>
      <c r="AY448" s="192"/>
      <c r="AZ448" s="192"/>
      <c r="BA448" s="217">
        <f>LoanSize</f>
        <v>25</v>
      </c>
      <c r="BB448" s="215">
        <f>IF(BA448-BA451&lt;=0.1,0,BA448-BA451)</f>
        <v>23.79027212253634</v>
      </c>
      <c r="BC448" s="215">
        <f t="shared" ref="BC448:BK448" si="5420">IF(BB448-BB451&lt;=0.1,0,BB448-BB451)</f>
        <v>22.56189427362845</v>
      </c>
      <c r="BD448" s="215">
        <f t="shared" si="5420"/>
        <v>21.314578932883229</v>
      </c>
      <c r="BE448" s="215">
        <f t="shared" si="5420"/>
        <v>20.048034147301522</v>
      </c>
      <c r="BF448" s="215">
        <f t="shared" si="5420"/>
        <v>18.761963462942095</v>
      </c>
      <c r="BG448" s="215">
        <f t="shared" si="5420"/>
        <v>17.456065855532128</v>
      </c>
      <c r="BH448" s="215">
        <f t="shared" si="5420"/>
        <v>16.130035660007923</v>
      </c>
      <c r="BI448" s="215">
        <f t="shared" si="5420"/>
        <v>14.783562498969387</v>
      </c>
      <c r="BJ448" s="215">
        <f t="shared" si="5420"/>
        <v>13.416331210031506</v>
      </c>
      <c r="BK448" s="215">
        <f t="shared" si="5420"/>
        <v>12.028021772055833</v>
      </c>
    </row>
    <row r="449" spans="1:63" ht="7.8" x14ac:dyDescent="0.15">
      <c r="A449" s="218" t="s">
        <v>179</v>
      </c>
      <c r="B449" s="192"/>
      <c r="C449" s="192"/>
      <c r="D449" s="192"/>
      <c r="E449" s="192"/>
      <c r="F449" s="192"/>
      <c r="G449" s="192"/>
      <c r="H449" s="192"/>
      <c r="I449" s="192"/>
      <c r="J449" s="192"/>
      <c r="K449" s="192"/>
      <c r="L449" s="192"/>
      <c r="M449" s="192"/>
      <c r="N449" s="192"/>
      <c r="O449" s="192"/>
      <c r="P449" s="192"/>
      <c r="Q449" s="192"/>
      <c r="R449" s="192"/>
      <c r="S449" s="192"/>
      <c r="T449" s="192"/>
      <c r="U449" s="192"/>
      <c r="V449" s="192"/>
      <c r="W449" s="192"/>
      <c r="X449" s="192"/>
      <c r="Y449" s="192"/>
      <c r="Z449" s="192"/>
      <c r="AA449" s="192"/>
      <c r="AB449" s="192"/>
      <c r="AC449" s="192"/>
      <c r="AD449" s="192"/>
      <c r="AE449" s="192"/>
      <c r="AF449" s="192"/>
      <c r="AG449" s="192"/>
      <c r="AH449" s="192"/>
      <c r="AI449" s="192"/>
      <c r="AJ449" s="192"/>
      <c r="AK449" s="192"/>
      <c r="AL449" s="192"/>
      <c r="AM449" s="192"/>
      <c r="AN449" s="192"/>
      <c r="AO449" s="192"/>
      <c r="AP449" s="192"/>
      <c r="AQ449" s="192"/>
      <c r="AR449" s="192"/>
      <c r="AS449" s="192"/>
      <c r="AT449" s="192"/>
      <c r="AU449" s="192"/>
      <c r="AV449" s="192"/>
      <c r="AW449" s="192"/>
      <c r="AX449" s="192"/>
      <c r="AY449" s="192"/>
      <c r="AZ449" s="192"/>
      <c r="BA449" s="219">
        <f>IF(BA448=0,0,PMT(INDEX(LoanCohortRate,1),LoanTerm, -LoanSize))</f>
        <v>1.5951445441303251</v>
      </c>
      <c r="BB449" s="222">
        <f t="shared" ref="BB449" si="5421">IF(BB448=0,0, BA449)</f>
        <v>1.5951445441303251</v>
      </c>
      <c r="BC449" s="222">
        <f t="shared" ref="BC449" si="5422">IF(BC448=0,0, BB449)</f>
        <v>1.5951445441303251</v>
      </c>
      <c r="BD449" s="222">
        <f t="shared" ref="BD449" si="5423">IF(BD448=0,0, BC449)</f>
        <v>1.5951445441303251</v>
      </c>
      <c r="BE449" s="222">
        <f t="shared" ref="BE449" si="5424">IF(BE448=0,0, BD449)</f>
        <v>1.5951445441303251</v>
      </c>
      <c r="BF449" s="222">
        <f t="shared" ref="BF449" si="5425">IF(BF448=0,0, BE449)</f>
        <v>1.5951445441303251</v>
      </c>
      <c r="BG449" s="222">
        <f t="shared" ref="BG449" si="5426">IF(BG448=0,0, BF449)</f>
        <v>1.5951445441303251</v>
      </c>
      <c r="BH449" s="222">
        <f t="shared" ref="BH449" si="5427">IF(BH448=0,0, BG449)</f>
        <v>1.5951445441303251</v>
      </c>
      <c r="BI449" s="222">
        <f t="shared" ref="BI449" si="5428">IF(BI448=0,0, BH449)</f>
        <v>1.5951445441303251</v>
      </c>
      <c r="BJ449" s="222">
        <f t="shared" ref="BJ449" si="5429">IF(BJ448=0,0, BI449)</f>
        <v>1.5951445441303251</v>
      </c>
      <c r="BK449" s="222">
        <f t="shared" ref="BK449" si="5430">IF(BK448=0,0, BJ449)</f>
        <v>1.5951445441303251</v>
      </c>
    </row>
    <row r="450" spans="1:63" ht="7.8" x14ac:dyDescent="0.15">
      <c r="A450" s="218" t="s">
        <v>180</v>
      </c>
      <c r="B450" s="192"/>
      <c r="C450" s="192"/>
      <c r="D450" s="192"/>
      <c r="E450" s="192"/>
      <c r="F450" s="192"/>
      <c r="G450" s="192"/>
      <c r="H450" s="192"/>
      <c r="I450" s="192"/>
      <c r="J450" s="192"/>
      <c r="K450" s="192"/>
      <c r="L450" s="192"/>
      <c r="M450" s="192"/>
      <c r="N450" s="192"/>
      <c r="O450" s="192"/>
      <c r="P450" s="192"/>
      <c r="Q450" s="192"/>
      <c r="R450" s="192"/>
      <c r="S450" s="192"/>
      <c r="T450" s="192"/>
      <c r="U450" s="192"/>
      <c r="V450" s="192"/>
      <c r="W450" s="192"/>
      <c r="X450" s="192"/>
      <c r="Y450" s="192"/>
      <c r="Z450" s="192"/>
      <c r="AA450" s="192"/>
      <c r="AB450" s="192"/>
      <c r="AC450" s="192"/>
      <c r="AD450" s="192"/>
      <c r="AE450" s="192"/>
      <c r="AF450" s="192"/>
      <c r="AG450" s="192"/>
      <c r="AH450" s="192"/>
      <c r="AI450" s="192"/>
      <c r="AJ450" s="192"/>
      <c r="AK450" s="192"/>
      <c r="AL450" s="192"/>
      <c r="AM450" s="192"/>
      <c r="AN450" s="192"/>
      <c r="AO450" s="192"/>
      <c r="AP450" s="192"/>
      <c r="AQ450" s="192"/>
      <c r="AR450" s="192"/>
      <c r="AS450" s="192"/>
      <c r="AT450" s="192"/>
      <c r="AU450" s="192"/>
      <c r="AV450" s="192"/>
      <c r="AW450" s="192"/>
      <c r="AX450" s="192"/>
      <c r="AY450" s="192"/>
      <c r="AZ450" s="192"/>
      <c r="BA450" s="220" cm="1">
        <f t="array" ref="BA450">BA448*INDEX(LoanCohortRate,$A447)</f>
        <v>0.38541666666666669</v>
      </c>
      <c r="BB450" s="221" cm="1">
        <f t="array" ref="BB450">BB448*INDEX(LoanCohortRate,$A447)</f>
        <v>0.36676669522243527</v>
      </c>
      <c r="BC450" s="221" cm="1">
        <f t="array" ref="BC450">BC448*INDEX(LoanCohortRate,$A447)</f>
        <v>0.34782920338510526</v>
      </c>
      <c r="BD450" s="221" cm="1">
        <f t="array" ref="BD450">BD448*INDEX(LoanCohortRate,$A447)</f>
        <v>0.32859975854861645</v>
      </c>
      <c r="BE450" s="221" cm="1">
        <f t="array" ref="BE450">BE448*INDEX(LoanCohortRate,$A447)</f>
        <v>0.30907385977089846</v>
      </c>
      <c r="BF450" s="221" cm="1">
        <f t="array" ref="BF450">BF448*INDEX(LoanCohortRate,$A447)</f>
        <v>0.28924693672035728</v>
      </c>
      <c r="BG450" s="221" cm="1">
        <f t="array" ref="BG450">BG448*INDEX(LoanCohortRate,$A447)</f>
        <v>0.26911434860612032</v>
      </c>
      <c r="BH450" s="221" cm="1">
        <f t="array" ref="BH450">BH448*INDEX(LoanCohortRate,$A447)</f>
        <v>0.24867138309178882</v>
      </c>
      <c r="BI450" s="221" cm="1">
        <f t="array" ref="BI450">BI448*INDEX(LoanCohortRate,$A447)</f>
        <v>0.22791325519244471</v>
      </c>
      <c r="BJ450" s="221" cm="1">
        <f t="array" ref="BJ450">BJ448*INDEX(LoanCohortRate,$A447)</f>
        <v>0.20683510615465239</v>
      </c>
      <c r="BK450" s="221" cm="1">
        <f t="array" ref="BK450">BK448*INDEX(LoanCohortRate,$A447)</f>
        <v>0.1854320023191941</v>
      </c>
    </row>
    <row r="451" spans="1:63" ht="7.8" x14ac:dyDescent="0.15">
      <c r="A451" s="218" t="s">
        <v>177</v>
      </c>
      <c r="B451" s="192"/>
      <c r="C451" s="192"/>
      <c r="D451" s="192"/>
      <c r="E451" s="192"/>
      <c r="F451" s="192"/>
      <c r="G451" s="192"/>
      <c r="H451" s="192"/>
      <c r="I451" s="192"/>
      <c r="J451" s="192"/>
      <c r="K451" s="192"/>
      <c r="L451" s="192"/>
      <c r="M451" s="192"/>
      <c r="N451" s="192"/>
      <c r="O451" s="192"/>
      <c r="P451" s="192"/>
      <c r="Q451" s="192"/>
      <c r="R451" s="192"/>
      <c r="S451" s="192"/>
      <c r="T451" s="192"/>
      <c r="U451" s="192"/>
      <c r="V451" s="192"/>
      <c r="W451" s="192"/>
      <c r="X451" s="192"/>
      <c r="Y451" s="192"/>
      <c r="Z451" s="192"/>
      <c r="AA451" s="192"/>
      <c r="AB451" s="192"/>
      <c r="AC451" s="192"/>
      <c r="AD451" s="192"/>
      <c r="AE451" s="192"/>
      <c r="AF451" s="192"/>
      <c r="AG451" s="192"/>
      <c r="AH451" s="192"/>
      <c r="AI451" s="192"/>
      <c r="AJ451" s="192"/>
      <c r="AK451" s="192"/>
      <c r="AL451" s="192"/>
      <c r="AM451" s="192"/>
      <c r="AN451" s="192"/>
      <c r="AO451" s="192"/>
      <c r="AP451" s="192"/>
      <c r="AQ451" s="192"/>
      <c r="AR451" s="192"/>
      <c r="AS451" s="192"/>
      <c r="AT451" s="192"/>
      <c r="AU451" s="192"/>
      <c r="AV451" s="192"/>
      <c r="AW451" s="192"/>
      <c r="AX451" s="192"/>
      <c r="AY451" s="192"/>
      <c r="AZ451" s="192"/>
      <c r="BA451" s="219">
        <f>BA449-BA450</f>
        <v>1.2097278774636584</v>
      </c>
      <c r="BB451" s="222">
        <f t="shared" ref="BB451:BK451" si="5431">BB449-BB450</f>
        <v>1.2283778489078898</v>
      </c>
      <c r="BC451" s="222">
        <f t="shared" si="5431"/>
        <v>1.24731534074522</v>
      </c>
      <c r="BD451" s="222">
        <f t="shared" si="5431"/>
        <v>1.2665447855817087</v>
      </c>
      <c r="BE451" s="222">
        <f t="shared" si="5431"/>
        <v>1.2860706843594267</v>
      </c>
      <c r="BF451" s="222">
        <f t="shared" si="5431"/>
        <v>1.305897607409968</v>
      </c>
      <c r="BG451" s="222">
        <f t="shared" si="5431"/>
        <v>1.3260301955242049</v>
      </c>
      <c r="BH451" s="222">
        <f t="shared" si="5431"/>
        <v>1.3464731610385363</v>
      </c>
      <c r="BI451" s="222">
        <f t="shared" si="5431"/>
        <v>1.3672312889378804</v>
      </c>
      <c r="BJ451" s="222">
        <f t="shared" si="5431"/>
        <v>1.3883094379756726</v>
      </c>
      <c r="BK451" s="222">
        <f t="shared" si="5431"/>
        <v>1.4097125418111309</v>
      </c>
    </row>
    <row r="452" spans="1:63" ht="7.8" x14ac:dyDescent="0.15">
      <c r="A452" s="205" t="s">
        <v>7</v>
      </c>
      <c r="B452" s="192"/>
      <c r="C452" s="192"/>
      <c r="D452" s="192"/>
      <c r="E452" s="192"/>
      <c r="F452" s="192"/>
      <c r="G452" s="192"/>
      <c r="H452" s="192"/>
      <c r="I452" s="192"/>
      <c r="J452" s="192"/>
      <c r="K452" s="192"/>
      <c r="L452" s="192"/>
      <c r="M452" s="192"/>
      <c r="N452" s="192"/>
      <c r="O452" s="192"/>
      <c r="P452" s="192"/>
      <c r="Q452" s="192"/>
      <c r="R452" s="192"/>
      <c r="S452" s="192"/>
      <c r="T452" s="192"/>
      <c r="U452" s="192"/>
      <c r="V452" s="192"/>
      <c r="W452" s="192"/>
      <c r="X452" s="192"/>
      <c r="Y452" s="192"/>
      <c r="Z452" s="192"/>
      <c r="AA452" s="192"/>
      <c r="AB452" s="192"/>
      <c r="AC452" s="192"/>
      <c r="AD452" s="192"/>
      <c r="AE452" s="192"/>
      <c r="AF452" s="192"/>
      <c r="AG452" s="192"/>
      <c r="AH452" s="192"/>
      <c r="AI452" s="192"/>
      <c r="AJ452" s="192"/>
      <c r="AK452" s="192"/>
      <c r="AL452" s="192"/>
      <c r="AM452" s="192"/>
      <c r="AN452" s="192"/>
      <c r="AO452" s="192"/>
      <c r="AP452" s="192"/>
      <c r="AQ452" s="192"/>
      <c r="AR452" s="192"/>
      <c r="AS452" s="192"/>
      <c r="AT452" s="192"/>
      <c r="AU452" s="192"/>
      <c r="AV452" s="192"/>
      <c r="AW452" s="192"/>
      <c r="AX452" s="192"/>
      <c r="AY452" s="192"/>
      <c r="AZ452" s="192"/>
      <c r="BA452" s="214" cm="1">
        <f t="array" ref="BA452">INDEX(LoanOriginations,$A447)</f>
        <v>127.68416069008587</v>
      </c>
      <c r="BB452" s="199">
        <f t="shared" ref="BB452:BK452" si="5432">BA452*(1-MitigateDelinquency*MitigateChargeoff)  *  IF(BB447=0,0,IF(BB447-102=LoanSaleHeld,0.6,1))</f>
        <v>127.55647652939579</v>
      </c>
      <c r="BC452" s="199">
        <f t="shared" si="5432"/>
        <v>127.4289200528664</v>
      </c>
      <c r="BD452" s="199">
        <f t="shared" si="5432"/>
        <v>127.30149113281354</v>
      </c>
      <c r="BE452" s="199">
        <f t="shared" si="5432"/>
        <v>76.304513785008439</v>
      </c>
      <c r="BF452" s="199">
        <f t="shared" si="5432"/>
        <v>76.228209271223434</v>
      </c>
      <c r="BG452" s="199">
        <f t="shared" si="5432"/>
        <v>76.151981061952213</v>
      </c>
      <c r="BH452" s="199">
        <f t="shared" si="5432"/>
        <v>76.075829080890259</v>
      </c>
      <c r="BI452" s="199">
        <f t="shared" si="5432"/>
        <v>75.999753251809366</v>
      </c>
      <c r="BJ452" s="199">
        <f t="shared" si="5432"/>
        <v>75.923753498557559</v>
      </c>
      <c r="BK452" s="199">
        <f t="shared" si="5432"/>
        <v>75.847829745059002</v>
      </c>
    </row>
    <row r="453" spans="1:63" ht="7.8" x14ac:dyDescent="0.15">
      <c r="A453" s="207" t="s">
        <v>96</v>
      </c>
      <c r="B453" s="192"/>
      <c r="C453" s="192"/>
      <c r="D453" s="192"/>
      <c r="E453" s="192"/>
      <c r="F453" s="192"/>
      <c r="G453" s="192"/>
      <c r="H453" s="192"/>
      <c r="I453" s="192"/>
      <c r="J453" s="192"/>
      <c r="K453" s="192"/>
      <c r="L453" s="192"/>
      <c r="M453" s="192"/>
      <c r="N453" s="192"/>
      <c r="O453" s="192"/>
      <c r="P453" s="192"/>
      <c r="Q453" s="192"/>
      <c r="R453" s="192"/>
      <c r="S453" s="192"/>
      <c r="T453" s="192"/>
      <c r="U453" s="192"/>
      <c r="V453" s="192"/>
      <c r="W453" s="192"/>
      <c r="X453" s="192"/>
      <c r="Y453" s="192"/>
      <c r="Z453" s="192"/>
      <c r="AA453" s="192"/>
      <c r="AB453" s="192"/>
      <c r="AC453" s="192"/>
      <c r="AD453" s="192"/>
      <c r="AE453" s="192"/>
      <c r="AF453" s="192"/>
      <c r="AG453" s="192"/>
      <c r="AH453" s="192"/>
      <c r="AI453" s="192"/>
      <c r="AJ453" s="192"/>
      <c r="AK453" s="192"/>
      <c r="AL453" s="192"/>
      <c r="AM453" s="192"/>
      <c r="AN453" s="192"/>
      <c r="AO453" s="192"/>
      <c r="AP453" s="192"/>
      <c r="AQ453" s="192"/>
      <c r="AR453" s="192"/>
      <c r="AS453" s="192"/>
      <c r="AT453" s="192"/>
      <c r="AU453" s="192"/>
      <c r="AV453" s="192"/>
      <c r="AW453" s="192"/>
      <c r="AX453" s="192"/>
      <c r="AY453" s="192"/>
      <c r="AZ453" s="192"/>
      <c r="BA453" s="223">
        <f>BA450*BA452</f>
        <v>49.211603599303935</v>
      </c>
      <c r="BB453" s="200">
        <f t="shared" ref="BB453" si="5433">BB450*BB452</f>
        <v>46.783467350904623</v>
      </c>
      <c r="BC453" s="200">
        <f t="shared" ref="BC453" si="5434">BC450*BC452</f>
        <v>44.323499750212783</v>
      </c>
      <c r="BD453" s="200">
        <f t="shared" ref="BD453" si="5435">BD450*BD452</f>
        <v>41.831239249121367</v>
      </c>
      <c r="BE453" s="200">
        <f t="shared" ref="BE453" si="5436">BE450*BE452</f>
        <v>23.583730593474286</v>
      </c>
      <c r="BF453" s="200">
        <f t="shared" ref="BF453" si="5437">BF450*BF452</f>
        <v>22.048776023379716</v>
      </c>
      <c r="BG453" s="200">
        <f t="shared" ref="BG453" si="5438">BG450*BG452</f>
        <v>20.493590778552882</v>
      </c>
      <c r="BH453" s="200">
        <f t="shared" ref="BH453" si="5439">BH450*BH452</f>
        <v>18.91788163739951</v>
      </c>
      <c r="BI453" s="200">
        <f t="shared" ref="BI453" si="5440">BI450*BI452</f>
        <v>17.321351157442457</v>
      </c>
      <c r="BJ453" s="200">
        <f t="shared" ref="BJ453" si="5441">BJ450*BJ452</f>
        <v>15.703697614533814</v>
      </c>
      <c r="BK453" s="200">
        <f t="shared" ref="BK453" si="5442">BK450*BK452</f>
        <v>14.064614941191619</v>
      </c>
    </row>
    <row r="454" spans="1:63" ht="7.8" x14ac:dyDescent="0.15">
      <c r="A454" s="206" t="s">
        <v>97</v>
      </c>
      <c r="B454" s="192"/>
      <c r="C454" s="192"/>
      <c r="D454" s="192"/>
      <c r="E454" s="192"/>
      <c r="F454" s="192"/>
      <c r="G454" s="192"/>
      <c r="H454" s="192"/>
      <c r="I454" s="192"/>
      <c r="J454" s="192"/>
      <c r="K454" s="192"/>
      <c r="L454" s="192"/>
      <c r="M454" s="192"/>
      <c r="N454" s="192"/>
      <c r="O454" s="192"/>
      <c r="P454" s="192"/>
      <c r="Q454" s="192"/>
      <c r="R454" s="192"/>
      <c r="S454" s="192"/>
      <c r="T454" s="192"/>
      <c r="U454" s="192"/>
      <c r="V454" s="192"/>
      <c r="W454" s="192"/>
      <c r="X454" s="192"/>
      <c r="Y454" s="192"/>
      <c r="Z454" s="192"/>
      <c r="AA454" s="192"/>
      <c r="AB454" s="192"/>
      <c r="AC454" s="192"/>
      <c r="AD454" s="192"/>
      <c r="AE454" s="192"/>
      <c r="AF454" s="192"/>
      <c r="AG454" s="192"/>
      <c r="AH454" s="192"/>
      <c r="AI454" s="192"/>
      <c r="AJ454" s="192"/>
      <c r="AK454" s="192"/>
      <c r="AL454" s="192"/>
      <c r="AM454" s="192"/>
      <c r="AN454" s="192"/>
      <c r="AO454" s="192"/>
      <c r="AP454" s="192"/>
      <c r="AQ454" s="192"/>
      <c r="AR454" s="192"/>
      <c r="AS454" s="192"/>
      <c r="AT454" s="192"/>
      <c r="AU454" s="192"/>
      <c r="AV454" s="192"/>
      <c r="AW454" s="192"/>
      <c r="AX454" s="192"/>
      <c r="AY454" s="192"/>
      <c r="AZ454" s="192"/>
      <c r="BA454" s="223">
        <f>BA451*BA452</f>
        <v>154.46308869734628</v>
      </c>
      <c r="BB454" s="200">
        <f>BB451*BB452</f>
        <v>156.68755025344893</v>
      </c>
      <c r="BC454" s="200">
        <f t="shared" ref="BC454:BK454" si="5443">BC451*BC452</f>
        <v>158.94404683653644</v>
      </c>
      <c r="BD454" s="200">
        <f t="shared" si="5443"/>
        <v>161.23303979104111</v>
      </c>
      <c r="BE454" s="200">
        <f t="shared" si="5443"/>
        <v>98.132998263199113</v>
      </c>
      <c r="BF454" s="200">
        <f t="shared" si="5443"/>
        <v>99.546236104437014</v>
      </c>
      <c r="BG454" s="200">
        <f t="shared" si="5443"/>
        <v>100.97982633713605</v>
      </c>
      <c r="BH454" s="200">
        <f t="shared" si="5443"/>
        <v>102.43406206117372</v>
      </c>
      <c r="BI454" s="200">
        <f t="shared" si="5443"/>
        <v>103.90924059743219</v>
      </c>
      <c r="BJ454" s="200">
        <f t="shared" si="5443"/>
        <v>105.40566354858595</v>
      </c>
      <c r="BK454" s="200">
        <f t="shared" si="5443"/>
        <v>106.92363686076503</v>
      </c>
    </row>
    <row r="455" spans="1:63" ht="7.8" x14ac:dyDescent="0.15">
      <c r="A455" s="208" t="s">
        <v>203</v>
      </c>
      <c r="B455" s="192"/>
      <c r="C455" s="192"/>
      <c r="D455" s="192"/>
      <c r="E455" s="192"/>
      <c r="F455" s="192"/>
      <c r="G455" s="192"/>
      <c r="H455" s="192"/>
      <c r="I455" s="192"/>
      <c r="J455" s="192"/>
      <c r="K455" s="192"/>
      <c r="L455" s="192"/>
      <c r="M455" s="192"/>
      <c r="N455" s="192"/>
      <c r="O455" s="192"/>
      <c r="P455" s="192"/>
      <c r="Q455" s="192"/>
      <c r="R455" s="192"/>
      <c r="S455" s="192"/>
      <c r="T455" s="192"/>
      <c r="U455" s="192"/>
      <c r="V455" s="192"/>
      <c r="W455" s="192"/>
      <c r="X455" s="192"/>
      <c r="Y455" s="192"/>
      <c r="Z455" s="192"/>
      <c r="AA455" s="192"/>
      <c r="AB455" s="192"/>
      <c r="AC455" s="192"/>
      <c r="AD455" s="192"/>
      <c r="AE455" s="192"/>
      <c r="AF455" s="192"/>
      <c r="AG455" s="192"/>
      <c r="AH455" s="192"/>
      <c r="AI455" s="192"/>
      <c r="AJ455" s="192"/>
      <c r="AK455" s="192"/>
      <c r="AL455" s="192"/>
      <c r="AM455" s="192"/>
      <c r="AN455" s="192"/>
      <c r="AO455" s="192"/>
      <c r="AP455" s="192"/>
      <c r="AQ455" s="192"/>
      <c r="AR455" s="192"/>
      <c r="AS455" s="192"/>
      <c r="AT455" s="192"/>
      <c r="AU455" s="192"/>
      <c r="AV455" s="192"/>
      <c r="AW455" s="192"/>
      <c r="AX455" s="192"/>
      <c r="AY455" s="192"/>
      <c r="AZ455" s="192"/>
      <c r="BA455" s="224">
        <f>IF(BA447-101&lt;&gt;LoanSaleHeld,0,SUM($D454:BA454)*LoanSalePercent)</f>
        <v>0</v>
      </c>
      <c r="BB455" s="225">
        <f>IF(BB447-101&lt;&gt;LoanSaleHeld,0,SUM($D454:BB454)*LoanSalePercent)</f>
        <v>0</v>
      </c>
      <c r="BC455" s="225">
        <f>IF(BC447-101&lt;&gt;LoanSaleHeld,0,SUM($D454:BC454)*LoanSalePercent)</f>
        <v>0</v>
      </c>
      <c r="BD455" s="225">
        <f>IF(BD447-101&lt;&gt;LoanSaleHeld,0,SUM($D454:BD454)*LoanSalePercent)</f>
        <v>252.53109023134914</v>
      </c>
      <c r="BE455" s="225">
        <f>IF(BE447-101&lt;&gt;LoanSaleHeld,0,SUM($D454:BE454)*LoanSalePercent)</f>
        <v>0</v>
      </c>
      <c r="BF455" s="225">
        <f>IF(BF447-101&lt;&gt;LoanSaleHeld,0,SUM($D454:BF454)*LoanSalePercent)</f>
        <v>0</v>
      </c>
      <c r="BG455" s="225">
        <f>IF(BG447-101&lt;&gt;LoanSaleHeld,0,SUM($D454:BG454)*LoanSalePercent)</f>
        <v>0</v>
      </c>
      <c r="BH455" s="225">
        <f>IF(BH447-101&lt;&gt;LoanSaleHeld,0,SUM($D454:BH454)*LoanSalePercent)</f>
        <v>0</v>
      </c>
      <c r="BI455" s="225">
        <f>IF(BI447-101&lt;&gt;LoanSaleHeld,0,SUM($D454:BI454)*LoanSalePercent)</f>
        <v>0</v>
      </c>
      <c r="BJ455" s="225">
        <f>IF(BJ447-101&lt;&gt;LoanSaleHeld,0,SUM($D454:BJ454)*LoanSalePercent)</f>
        <v>0</v>
      </c>
      <c r="BK455" s="225">
        <f>IF(BK447-101&lt;&gt;LoanSaleHeld,0,SUM($D454:BK454)*LoanSalePercent)</f>
        <v>0</v>
      </c>
    </row>
    <row r="456" spans="1:63" ht="7.8" x14ac:dyDescent="0.15">
      <c r="A456" s="204">
        <f t="shared" ref="A456" si="5444">A447+1</f>
        <v>51</v>
      </c>
      <c r="B456" s="192"/>
      <c r="C456" s="192"/>
      <c r="D456" s="192"/>
      <c r="E456" s="192"/>
      <c r="F456" s="192"/>
      <c r="G456" s="192"/>
      <c r="H456" s="192"/>
      <c r="I456" s="192"/>
      <c r="J456" s="192"/>
      <c r="K456" s="192"/>
      <c r="L456" s="192"/>
      <c r="M456" s="192"/>
      <c r="N456" s="192"/>
      <c r="O456" s="192"/>
      <c r="P456" s="192"/>
      <c r="Q456" s="192"/>
      <c r="R456" s="192"/>
      <c r="S456" s="192"/>
      <c r="T456" s="192"/>
      <c r="U456" s="192"/>
      <c r="V456" s="192"/>
      <c r="W456" s="192"/>
      <c r="X456" s="192"/>
      <c r="Y456" s="192"/>
      <c r="Z456" s="192"/>
      <c r="AA456" s="192"/>
      <c r="AB456" s="192"/>
      <c r="AC456" s="192"/>
      <c r="AD456" s="192"/>
      <c r="AE456" s="192"/>
      <c r="AF456" s="192"/>
      <c r="AG456" s="192"/>
      <c r="AH456" s="192"/>
      <c r="AI456" s="192"/>
      <c r="AJ456" s="192"/>
      <c r="AK456" s="192"/>
      <c r="AL456" s="192"/>
      <c r="AM456" s="192"/>
      <c r="AN456" s="192"/>
      <c r="AO456" s="192"/>
      <c r="AP456" s="192"/>
      <c r="AQ456" s="192"/>
      <c r="AR456" s="192"/>
      <c r="AS456" s="192"/>
      <c r="AT456" s="192"/>
      <c r="AU456" s="192"/>
      <c r="AV456" s="192"/>
      <c r="AW456" s="192"/>
      <c r="AX456" s="192"/>
      <c r="AY456" s="192"/>
      <c r="AZ456" s="192"/>
      <c r="BA456" s="192"/>
      <c r="BB456" s="195">
        <v>101</v>
      </c>
      <c r="BC456" s="196">
        <f t="shared" ref="BC456" si="5445">IF(BC457=0,0,BB456+1)</f>
        <v>102</v>
      </c>
      <c r="BD456" s="196">
        <f t="shared" ref="BD456" si="5446">IF(BD457=0,0,BC456+1)</f>
        <v>103</v>
      </c>
      <c r="BE456" s="196">
        <f t="shared" ref="BE456" si="5447">IF(BE457=0,0,BD456+1)</f>
        <v>104</v>
      </c>
      <c r="BF456" s="196">
        <f t="shared" ref="BF456" si="5448">IF(BF457=0,0,BE456+1)</f>
        <v>105</v>
      </c>
      <c r="BG456" s="196">
        <f t="shared" ref="BG456" si="5449">IF(BG457=0,0,BF456+1)</f>
        <v>106</v>
      </c>
      <c r="BH456" s="196">
        <f t="shared" ref="BH456" si="5450">IF(BH457=0,0,BG456+1)</f>
        <v>107</v>
      </c>
      <c r="BI456" s="196">
        <f t="shared" ref="BI456" si="5451">IF(BI457=0,0,BH456+1)</f>
        <v>108</v>
      </c>
      <c r="BJ456" s="196">
        <f t="shared" ref="BJ456" si="5452">IF(BJ457=0,0,BI456+1)</f>
        <v>109</v>
      </c>
      <c r="BK456" s="196">
        <f t="shared" ref="BK456" si="5453">IF(BK457=0,0,BJ456+1)</f>
        <v>110</v>
      </c>
    </row>
    <row r="457" spans="1:63" ht="7.8" x14ac:dyDescent="0.15">
      <c r="A457" s="216" t="s">
        <v>178</v>
      </c>
      <c r="B457" s="192"/>
      <c r="C457" s="192"/>
      <c r="D457" s="192"/>
      <c r="E457" s="192"/>
      <c r="F457" s="192"/>
      <c r="G457" s="192"/>
      <c r="H457" s="192"/>
      <c r="I457" s="192"/>
      <c r="J457" s="192"/>
      <c r="K457" s="192"/>
      <c r="L457" s="192"/>
      <c r="M457" s="192"/>
      <c r="N457" s="192"/>
      <c r="O457" s="192"/>
      <c r="P457" s="192"/>
      <c r="Q457" s="192"/>
      <c r="R457" s="192"/>
      <c r="S457" s="192"/>
      <c r="T457" s="192"/>
      <c r="U457" s="192"/>
      <c r="V457" s="192"/>
      <c r="W457" s="192"/>
      <c r="X457" s="192"/>
      <c r="Y457" s="192"/>
      <c r="Z457" s="192"/>
      <c r="AA457" s="192"/>
      <c r="AB457" s="192"/>
      <c r="AC457" s="192"/>
      <c r="AD457" s="192"/>
      <c r="AE457" s="192"/>
      <c r="AF457" s="192"/>
      <c r="AG457" s="192"/>
      <c r="AH457" s="192"/>
      <c r="AI457" s="192"/>
      <c r="AJ457" s="192"/>
      <c r="AK457" s="192"/>
      <c r="AL457" s="192"/>
      <c r="AM457" s="192"/>
      <c r="AN457" s="192"/>
      <c r="AO457" s="192"/>
      <c r="AP457" s="192"/>
      <c r="AQ457" s="192"/>
      <c r="AR457" s="192"/>
      <c r="AS457" s="192"/>
      <c r="AT457" s="192"/>
      <c r="AU457" s="192"/>
      <c r="AV457" s="192"/>
      <c r="AW457" s="192"/>
      <c r="AX457" s="192"/>
      <c r="AY457" s="192"/>
      <c r="AZ457" s="192"/>
      <c r="BA457" s="192"/>
      <c r="BB457" s="217">
        <f>LoanSize</f>
        <v>25</v>
      </c>
      <c r="BC457" s="215">
        <f>IF(BB457-BB460&lt;=0.1,0,BB457-BB460)</f>
        <v>23.79027212253634</v>
      </c>
      <c r="BD457" s="215">
        <f t="shared" ref="BD457:BK457" si="5454">IF(BC457-BC460&lt;=0.1,0,BC457-BC460)</f>
        <v>22.56189427362845</v>
      </c>
      <c r="BE457" s="215">
        <f t="shared" si="5454"/>
        <v>21.314578932883229</v>
      </c>
      <c r="BF457" s="215">
        <f t="shared" si="5454"/>
        <v>20.048034147301522</v>
      </c>
      <c r="BG457" s="215">
        <f t="shared" si="5454"/>
        <v>18.761963462942095</v>
      </c>
      <c r="BH457" s="215">
        <f t="shared" si="5454"/>
        <v>17.456065855532128</v>
      </c>
      <c r="BI457" s="215">
        <f t="shared" si="5454"/>
        <v>16.130035660007923</v>
      </c>
      <c r="BJ457" s="215">
        <f t="shared" si="5454"/>
        <v>14.783562498969387</v>
      </c>
      <c r="BK457" s="215">
        <f t="shared" si="5454"/>
        <v>13.416331210031506</v>
      </c>
    </row>
    <row r="458" spans="1:63" ht="7.8" x14ac:dyDescent="0.15">
      <c r="A458" s="218" t="s">
        <v>179</v>
      </c>
      <c r="B458" s="192"/>
      <c r="C458" s="192"/>
      <c r="D458" s="192"/>
      <c r="E458" s="192"/>
      <c r="F458" s="192"/>
      <c r="G458" s="192"/>
      <c r="H458" s="192"/>
      <c r="I458" s="192"/>
      <c r="J458" s="192"/>
      <c r="K458" s="192"/>
      <c r="L458" s="192"/>
      <c r="M458" s="192"/>
      <c r="N458" s="192"/>
      <c r="O458" s="192"/>
      <c r="P458" s="192"/>
      <c r="Q458" s="192"/>
      <c r="R458" s="192"/>
      <c r="S458" s="192"/>
      <c r="T458" s="192"/>
      <c r="U458" s="192"/>
      <c r="V458" s="192"/>
      <c r="W458" s="192"/>
      <c r="X458" s="192"/>
      <c r="Y458" s="192"/>
      <c r="Z458" s="192"/>
      <c r="AA458" s="192"/>
      <c r="AB458" s="192"/>
      <c r="AC458" s="192"/>
      <c r="AD458" s="192"/>
      <c r="AE458" s="192"/>
      <c r="AF458" s="192"/>
      <c r="AG458" s="192"/>
      <c r="AH458" s="192"/>
      <c r="AI458" s="192"/>
      <c r="AJ458" s="192"/>
      <c r="AK458" s="192"/>
      <c r="AL458" s="192"/>
      <c r="AM458" s="192"/>
      <c r="AN458" s="192"/>
      <c r="AO458" s="192"/>
      <c r="AP458" s="192"/>
      <c r="AQ458" s="192"/>
      <c r="AR458" s="192"/>
      <c r="AS458" s="192"/>
      <c r="AT458" s="192"/>
      <c r="AU458" s="192"/>
      <c r="AV458" s="192"/>
      <c r="AW458" s="192"/>
      <c r="AX458" s="192"/>
      <c r="AY458" s="192"/>
      <c r="AZ458" s="192"/>
      <c r="BA458" s="192"/>
      <c r="BB458" s="219">
        <f>IF(BB457=0,0,PMT(INDEX(LoanCohortRate,1),LoanTerm, -LoanSize))</f>
        <v>1.5951445441303251</v>
      </c>
      <c r="BC458" s="222">
        <f t="shared" ref="BC458" si="5455">IF(BC457=0,0, BB458)</f>
        <v>1.5951445441303251</v>
      </c>
      <c r="BD458" s="222">
        <f t="shared" ref="BD458" si="5456">IF(BD457=0,0, BC458)</f>
        <v>1.5951445441303251</v>
      </c>
      <c r="BE458" s="222">
        <f t="shared" ref="BE458" si="5457">IF(BE457=0,0, BD458)</f>
        <v>1.5951445441303251</v>
      </c>
      <c r="BF458" s="222">
        <f t="shared" ref="BF458" si="5458">IF(BF457=0,0, BE458)</f>
        <v>1.5951445441303251</v>
      </c>
      <c r="BG458" s="222">
        <f t="shared" ref="BG458" si="5459">IF(BG457=0,0, BF458)</f>
        <v>1.5951445441303251</v>
      </c>
      <c r="BH458" s="222">
        <f t="shared" ref="BH458" si="5460">IF(BH457=0,0, BG458)</f>
        <v>1.5951445441303251</v>
      </c>
      <c r="BI458" s="222">
        <f t="shared" ref="BI458" si="5461">IF(BI457=0,0, BH458)</f>
        <v>1.5951445441303251</v>
      </c>
      <c r="BJ458" s="222">
        <f t="shared" ref="BJ458" si="5462">IF(BJ457=0,0, BI458)</f>
        <v>1.5951445441303251</v>
      </c>
      <c r="BK458" s="222">
        <f t="shared" ref="BK458" si="5463">IF(BK457=0,0, BJ458)</f>
        <v>1.5951445441303251</v>
      </c>
    </row>
    <row r="459" spans="1:63" ht="7.8" x14ac:dyDescent="0.15">
      <c r="A459" s="218" t="s">
        <v>180</v>
      </c>
      <c r="B459" s="192"/>
      <c r="C459" s="192"/>
      <c r="D459" s="192"/>
      <c r="E459" s="192"/>
      <c r="F459" s="192"/>
      <c r="G459" s="192"/>
      <c r="H459" s="192"/>
      <c r="I459" s="192"/>
      <c r="J459" s="192"/>
      <c r="K459" s="192"/>
      <c r="L459" s="192"/>
      <c r="M459" s="192"/>
      <c r="N459" s="192"/>
      <c r="O459" s="192"/>
      <c r="P459" s="192"/>
      <c r="Q459" s="192"/>
      <c r="R459" s="192"/>
      <c r="S459" s="192"/>
      <c r="T459" s="192"/>
      <c r="U459" s="192"/>
      <c r="V459" s="192"/>
      <c r="W459" s="192"/>
      <c r="X459" s="192"/>
      <c r="Y459" s="192"/>
      <c r="Z459" s="192"/>
      <c r="AA459" s="192"/>
      <c r="AB459" s="192"/>
      <c r="AC459" s="192"/>
      <c r="AD459" s="192"/>
      <c r="AE459" s="192"/>
      <c r="AF459" s="192"/>
      <c r="AG459" s="192"/>
      <c r="AH459" s="192"/>
      <c r="AI459" s="192"/>
      <c r="AJ459" s="192"/>
      <c r="AK459" s="192"/>
      <c r="AL459" s="192"/>
      <c r="AM459" s="192"/>
      <c r="AN459" s="192"/>
      <c r="AO459" s="192"/>
      <c r="AP459" s="192"/>
      <c r="AQ459" s="192"/>
      <c r="AR459" s="192"/>
      <c r="AS459" s="192"/>
      <c r="AT459" s="192"/>
      <c r="AU459" s="192"/>
      <c r="AV459" s="192"/>
      <c r="AW459" s="192"/>
      <c r="AX459" s="192"/>
      <c r="AY459" s="192"/>
      <c r="AZ459" s="192"/>
      <c r="BA459" s="192"/>
      <c r="BB459" s="220" cm="1">
        <f t="array" ref="BB459">BB457*INDEX(LoanCohortRate,$A456)</f>
        <v>0.38541666666666669</v>
      </c>
      <c r="BC459" s="221" cm="1">
        <f t="array" ref="BC459">BC457*INDEX(LoanCohortRate,$A456)</f>
        <v>0.36676669522243527</v>
      </c>
      <c r="BD459" s="221" cm="1">
        <f t="array" ref="BD459">BD457*INDEX(LoanCohortRate,$A456)</f>
        <v>0.34782920338510526</v>
      </c>
      <c r="BE459" s="221" cm="1">
        <f t="array" ref="BE459">BE457*INDEX(LoanCohortRate,$A456)</f>
        <v>0.32859975854861645</v>
      </c>
      <c r="BF459" s="221" cm="1">
        <f t="array" ref="BF459">BF457*INDEX(LoanCohortRate,$A456)</f>
        <v>0.30907385977089846</v>
      </c>
      <c r="BG459" s="221" cm="1">
        <f t="array" ref="BG459">BG457*INDEX(LoanCohortRate,$A456)</f>
        <v>0.28924693672035728</v>
      </c>
      <c r="BH459" s="221" cm="1">
        <f t="array" ref="BH459">BH457*INDEX(LoanCohortRate,$A456)</f>
        <v>0.26911434860612032</v>
      </c>
      <c r="BI459" s="221" cm="1">
        <f t="array" ref="BI459">BI457*INDEX(LoanCohortRate,$A456)</f>
        <v>0.24867138309178882</v>
      </c>
      <c r="BJ459" s="221" cm="1">
        <f t="array" ref="BJ459">BJ457*INDEX(LoanCohortRate,$A456)</f>
        <v>0.22791325519244471</v>
      </c>
      <c r="BK459" s="221" cm="1">
        <f t="array" ref="BK459">BK457*INDEX(LoanCohortRate,$A456)</f>
        <v>0.20683510615465239</v>
      </c>
    </row>
    <row r="460" spans="1:63" ht="7.8" x14ac:dyDescent="0.15">
      <c r="A460" s="218" t="s">
        <v>177</v>
      </c>
      <c r="B460" s="192"/>
      <c r="C460" s="192"/>
      <c r="D460" s="192"/>
      <c r="E460" s="192"/>
      <c r="F460" s="192"/>
      <c r="G460" s="192"/>
      <c r="H460" s="192"/>
      <c r="I460" s="192"/>
      <c r="J460" s="192"/>
      <c r="K460" s="192"/>
      <c r="L460" s="192"/>
      <c r="M460" s="192"/>
      <c r="N460" s="192"/>
      <c r="O460" s="192"/>
      <c r="P460" s="192"/>
      <c r="Q460" s="192"/>
      <c r="R460" s="192"/>
      <c r="S460" s="192"/>
      <c r="T460" s="192"/>
      <c r="U460" s="192"/>
      <c r="V460" s="192"/>
      <c r="W460" s="192"/>
      <c r="X460" s="192"/>
      <c r="Y460" s="192"/>
      <c r="Z460" s="192"/>
      <c r="AA460" s="192"/>
      <c r="AB460" s="192"/>
      <c r="AC460" s="192"/>
      <c r="AD460" s="192"/>
      <c r="AE460" s="192"/>
      <c r="AF460" s="192"/>
      <c r="AG460" s="192"/>
      <c r="AH460" s="192"/>
      <c r="AI460" s="192"/>
      <c r="AJ460" s="192"/>
      <c r="AK460" s="192"/>
      <c r="AL460" s="192"/>
      <c r="AM460" s="192"/>
      <c r="AN460" s="192"/>
      <c r="AO460" s="192"/>
      <c r="AP460" s="192"/>
      <c r="AQ460" s="192"/>
      <c r="AR460" s="192"/>
      <c r="AS460" s="192"/>
      <c r="AT460" s="192"/>
      <c r="AU460" s="192"/>
      <c r="AV460" s="192"/>
      <c r="AW460" s="192"/>
      <c r="AX460" s="192"/>
      <c r="AY460" s="192"/>
      <c r="AZ460" s="192"/>
      <c r="BA460" s="192"/>
      <c r="BB460" s="219">
        <f>BB458-BB459</f>
        <v>1.2097278774636584</v>
      </c>
      <c r="BC460" s="222">
        <f t="shared" ref="BC460:BK460" si="5464">BC458-BC459</f>
        <v>1.2283778489078898</v>
      </c>
      <c r="BD460" s="222">
        <f t="shared" si="5464"/>
        <v>1.24731534074522</v>
      </c>
      <c r="BE460" s="222">
        <f t="shared" si="5464"/>
        <v>1.2665447855817087</v>
      </c>
      <c r="BF460" s="222">
        <f t="shared" si="5464"/>
        <v>1.2860706843594267</v>
      </c>
      <c r="BG460" s="222">
        <f t="shared" si="5464"/>
        <v>1.305897607409968</v>
      </c>
      <c r="BH460" s="222">
        <f t="shared" si="5464"/>
        <v>1.3260301955242049</v>
      </c>
      <c r="BI460" s="222">
        <f t="shared" si="5464"/>
        <v>1.3464731610385363</v>
      </c>
      <c r="BJ460" s="222">
        <f t="shared" si="5464"/>
        <v>1.3672312889378804</v>
      </c>
      <c r="BK460" s="222">
        <f t="shared" si="5464"/>
        <v>1.3883094379756726</v>
      </c>
    </row>
    <row r="461" spans="1:63" ht="7.8" x14ac:dyDescent="0.15">
      <c r="A461" s="205" t="s">
        <v>7</v>
      </c>
      <c r="B461" s="192"/>
      <c r="C461" s="192"/>
      <c r="D461" s="192"/>
      <c r="E461" s="192"/>
      <c r="F461" s="192"/>
      <c r="G461" s="192"/>
      <c r="H461" s="192"/>
      <c r="I461" s="192"/>
      <c r="J461" s="192"/>
      <c r="K461" s="192"/>
      <c r="L461" s="192"/>
      <c r="M461" s="192"/>
      <c r="N461" s="192"/>
      <c r="O461" s="192"/>
      <c r="P461" s="192"/>
      <c r="Q461" s="192"/>
      <c r="R461" s="192"/>
      <c r="S461" s="192"/>
      <c r="T461" s="192"/>
      <c r="U461" s="192"/>
      <c r="V461" s="192"/>
      <c r="W461" s="192"/>
      <c r="X461" s="192"/>
      <c r="Y461" s="192"/>
      <c r="Z461" s="192"/>
      <c r="AA461" s="192"/>
      <c r="AB461" s="192"/>
      <c r="AC461" s="192"/>
      <c r="AD461" s="192"/>
      <c r="AE461" s="192"/>
      <c r="AF461" s="192"/>
      <c r="AG461" s="192"/>
      <c r="AH461" s="192"/>
      <c r="AI461" s="192"/>
      <c r="AJ461" s="192"/>
      <c r="AK461" s="192"/>
      <c r="AL461" s="192"/>
      <c r="AM461" s="192"/>
      <c r="AN461" s="192"/>
      <c r="AO461" s="192"/>
      <c r="AP461" s="192"/>
      <c r="AQ461" s="192"/>
      <c r="AR461" s="192"/>
      <c r="AS461" s="192"/>
      <c r="AT461" s="192"/>
      <c r="AU461" s="192"/>
      <c r="AV461" s="192"/>
      <c r="AW461" s="192"/>
      <c r="AX461" s="192"/>
      <c r="AY461" s="192"/>
      <c r="AZ461" s="192"/>
      <c r="BA461" s="192"/>
      <c r="BB461" s="214" cm="1">
        <f t="array" ref="BB461">INDEX(LoanOriginations,$A456)</f>
        <v>128.32258149353629</v>
      </c>
      <c r="BC461" s="199">
        <f t="shared" ref="BC461:BK461" si="5465">BB461*(1-MitigateDelinquency*MitigateChargeoff)  *  IF(BC456=0,0,IF(BC456-102=LoanSaleHeld,0.6,1))</f>
        <v>128.19425891204276</v>
      </c>
      <c r="BD461" s="199">
        <f t="shared" si="5465"/>
        <v>128.06606465313072</v>
      </c>
      <c r="BE461" s="199">
        <f t="shared" si="5465"/>
        <v>127.9379985884776</v>
      </c>
      <c r="BF461" s="199">
        <f t="shared" si="5465"/>
        <v>76.686036353933474</v>
      </c>
      <c r="BG461" s="199">
        <f t="shared" si="5465"/>
        <v>76.609350317579541</v>
      </c>
      <c r="BH461" s="199">
        <f t="shared" si="5465"/>
        <v>76.532740967261958</v>
      </c>
      <c r="BI461" s="199">
        <f t="shared" si="5465"/>
        <v>76.456208226294692</v>
      </c>
      <c r="BJ461" s="199">
        <f t="shared" si="5465"/>
        <v>76.379752018068402</v>
      </c>
      <c r="BK461" s="199">
        <f t="shared" si="5465"/>
        <v>76.303372266050332</v>
      </c>
    </row>
    <row r="462" spans="1:63" ht="7.8" x14ac:dyDescent="0.15">
      <c r="A462" s="207" t="s">
        <v>96</v>
      </c>
      <c r="B462" s="192"/>
      <c r="C462" s="192"/>
      <c r="D462" s="192"/>
      <c r="E462" s="192"/>
      <c r="F462" s="192"/>
      <c r="G462" s="192"/>
      <c r="H462" s="192"/>
      <c r="I462" s="192"/>
      <c r="J462" s="192"/>
      <c r="K462" s="192"/>
      <c r="L462" s="192"/>
      <c r="M462" s="192"/>
      <c r="N462" s="192"/>
      <c r="O462" s="192"/>
      <c r="P462" s="192"/>
      <c r="Q462" s="192"/>
      <c r="R462" s="192"/>
      <c r="S462" s="192"/>
      <c r="T462" s="192"/>
      <c r="U462" s="192"/>
      <c r="V462" s="192"/>
      <c r="W462" s="192"/>
      <c r="X462" s="192"/>
      <c r="Y462" s="192"/>
      <c r="Z462" s="192"/>
      <c r="AA462" s="192"/>
      <c r="AB462" s="192"/>
      <c r="AC462" s="192"/>
      <c r="AD462" s="192"/>
      <c r="AE462" s="192"/>
      <c r="AF462" s="192"/>
      <c r="AG462" s="192"/>
      <c r="AH462" s="192"/>
      <c r="AI462" s="192"/>
      <c r="AJ462" s="192"/>
      <c r="AK462" s="192"/>
      <c r="AL462" s="192"/>
      <c r="AM462" s="192"/>
      <c r="AN462" s="192"/>
      <c r="AO462" s="192"/>
      <c r="AP462" s="192"/>
      <c r="AQ462" s="192"/>
      <c r="AR462" s="192"/>
      <c r="AS462" s="192"/>
      <c r="AT462" s="192"/>
      <c r="AU462" s="192"/>
      <c r="AV462" s="192"/>
      <c r="AW462" s="192"/>
      <c r="AX462" s="192"/>
      <c r="AY462" s="192"/>
      <c r="AZ462" s="192"/>
      <c r="BA462" s="192"/>
      <c r="BB462" s="223">
        <f>BB459*BB461</f>
        <v>49.457661617300445</v>
      </c>
      <c r="BC462" s="200">
        <f t="shared" ref="BC462" si="5466">BC459*BC461</f>
        <v>47.017384687659138</v>
      </c>
      <c r="BD462" s="200">
        <f t="shared" ref="BD462" si="5467">BD459*BD461</f>
        <v>44.545117248963848</v>
      </c>
      <c r="BE462" s="200">
        <f t="shared" ref="BE462" si="5468">BE459*BE461</f>
        <v>42.040395445366968</v>
      </c>
      <c r="BF462" s="200">
        <f t="shared" ref="BF462" si="5469">BF459*BF461</f>
        <v>23.701649246441658</v>
      </c>
      <c r="BG462" s="200">
        <f t="shared" ref="BG462" si="5470">BG459*BG461</f>
        <v>22.159019903496613</v>
      </c>
      <c r="BH462" s="200">
        <f t="shared" ref="BH462" si="5471">BH459*BH461</f>
        <v>20.596058732445641</v>
      </c>
      <c r="BI462" s="200">
        <f t="shared" ref="BI462" si="5472">BI459*BI461</f>
        <v>19.012471045586505</v>
      </c>
      <c r="BJ462" s="200">
        <f t="shared" ref="BJ462" si="5473">BJ459*BJ461</f>
        <v>17.407957913229666</v>
      </c>
      <c r="BK462" s="200">
        <f t="shared" ref="BK462" si="5474">BK459*BK461</f>
        <v>15.78221610260648</v>
      </c>
    </row>
    <row r="463" spans="1:63" ht="7.8" x14ac:dyDescent="0.15">
      <c r="A463" s="206" t="s">
        <v>97</v>
      </c>
      <c r="B463" s="192"/>
      <c r="C463" s="192"/>
      <c r="D463" s="192"/>
      <c r="E463" s="192"/>
      <c r="F463" s="192"/>
      <c r="G463" s="192"/>
      <c r="H463" s="192"/>
      <c r="I463" s="192"/>
      <c r="J463" s="192"/>
      <c r="K463" s="192"/>
      <c r="L463" s="192"/>
      <c r="M463" s="192"/>
      <c r="N463" s="192"/>
      <c r="O463" s="192"/>
      <c r="P463" s="192"/>
      <c r="Q463" s="192"/>
      <c r="R463" s="192"/>
      <c r="S463" s="192"/>
      <c r="T463" s="192"/>
      <c r="U463" s="192"/>
      <c r="V463" s="192"/>
      <c r="W463" s="192"/>
      <c r="X463" s="192"/>
      <c r="Y463" s="192"/>
      <c r="Z463" s="192"/>
      <c r="AA463" s="192"/>
      <c r="AB463" s="192"/>
      <c r="AC463" s="192"/>
      <c r="AD463" s="192"/>
      <c r="AE463" s="192"/>
      <c r="AF463" s="192"/>
      <c r="AG463" s="192"/>
      <c r="AH463" s="192"/>
      <c r="AI463" s="192"/>
      <c r="AJ463" s="192"/>
      <c r="AK463" s="192"/>
      <c r="AL463" s="192"/>
      <c r="AM463" s="192"/>
      <c r="AN463" s="192"/>
      <c r="AO463" s="192"/>
      <c r="AP463" s="192"/>
      <c r="AQ463" s="192"/>
      <c r="AR463" s="192"/>
      <c r="AS463" s="192"/>
      <c r="AT463" s="192"/>
      <c r="AU463" s="192"/>
      <c r="AV463" s="192"/>
      <c r="AW463" s="192"/>
      <c r="AX463" s="192"/>
      <c r="AY463" s="192"/>
      <c r="AZ463" s="192"/>
      <c r="BA463" s="192"/>
      <c r="BB463" s="223">
        <f>BB460*BB461</f>
        <v>155.235404140833</v>
      </c>
      <c r="BC463" s="200">
        <f>BC460*BC461</f>
        <v>157.47098800471616</v>
      </c>
      <c r="BD463" s="200">
        <f t="shared" ref="BD463:BK463" si="5475">BD460*BD461</f>
        <v>159.73876707071912</v>
      </c>
      <c r="BE463" s="200">
        <f t="shared" si="5475"/>
        <v>162.03920498999631</v>
      </c>
      <c r="BF463" s="200">
        <f t="shared" si="5475"/>
        <v>98.623663254515094</v>
      </c>
      <c r="BG463" s="200">
        <f t="shared" si="5475"/>
        <v>100.04396728495919</v>
      </c>
      <c r="BH463" s="200">
        <f t="shared" si="5475"/>
        <v>101.48472546882169</v>
      </c>
      <c r="BI463" s="200">
        <f t="shared" si="5475"/>
        <v>102.94623237147955</v>
      </c>
      <c r="BJ463" s="200">
        <f t="shared" si="5475"/>
        <v>104.42878680041933</v>
      </c>
      <c r="BK463" s="200">
        <f t="shared" si="5475"/>
        <v>105.93269186632887</v>
      </c>
    </row>
    <row r="464" spans="1:63" ht="7.8" x14ac:dyDescent="0.15">
      <c r="A464" s="208" t="s">
        <v>203</v>
      </c>
      <c r="B464" s="192"/>
      <c r="C464" s="192"/>
      <c r="D464" s="192"/>
      <c r="E464" s="192"/>
      <c r="F464" s="192"/>
      <c r="G464" s="192"/>
      <c r="H464" s="192"/>
      <c r="I464" s="192"/>
      <c r="J464" s="192"/>
      <c r="K464" s="192"/>
      <c r="L464" s="192"/>
      <c r="M464" s="192"/>
      <c r="N464" s="192"/>
      <c r="O464" s="192"/>
      <c r="P464" s="192"/>
      <c r="Q464" s="192"/>
      <c r="R464" s="192"/>
      <c r="S464" s="192"/>
      <c r="T464" s="192"/>
      <c r="U464" s="192"/>
      <c r="V464" s="192"/>
      <c r="W464" s="192"/>
      <c r="X464" s="192"/>
      <c r="Y464" s="192"/>
      <c r="Z464" s="192"/>
      <c r="AA464" s="192"/>
      <c r="AB464" s="192"/>
      <c r="AC464" s="192"/>
      <c r="AD464" s="192"/>
      <c r="AE464" s="192"/>
      <c r="AF464" s="192"/>
      <c r="AG464" s="192"/>
      <c r="AH464" s="192"/>
      <c r="AI464" s="192"/>
      <c r="AJ464" s="192"/>
      <c r="AK464" s="192"/>
      <c r="AL464" s="192"/>
      <c r="AM464" s="192"/>
      <c r="AN464" s="192"/>
      <c r="AO464" s="192"/>
      <c r="AP464" s="192"/>
      <c r="AQ464" s="192"/>
      <c r="AR464" s="192"/>
      <c r="AS464" s="192"/>
      <c r="AT464" s="192"/>
      <c r="AU464" s="192"/>
      <c r="AV464" s="192"/>
      <c r="AW464" s="192"/>
      <c r="AX464" s="192"/>
      <c r="AY464" s="192"/>
      <c r="AZ464" s="192"/>
      <c r="BA464" s="192"/>
      <c r="BB464" s="224">
        <f>IF(BB456-101&lt;&gt;LoanSaleHeld,0,SUM($D463:BB463)*LoanSalePercent)</f>
        <v>0</v>
      </c>
      <c r="BC464" s="225">
        <f>IF(BC456-101&lt;&gt;LoanSaleHeld,0,SUM($D463:BC463)*LoanSalePercent)</f>
        <v>0</v>
      </c>
      <c r="BD464" s="225">
        <f>IF(BD456-101&lt;&gt;LoanSaleHeld,0,SUM($D463:BD463)*LoanSalePercent)</f>
        <v>0</v>
      </c>
      <c r="BE464" s="225">
        <f>IF(BE456-101&lt;&gt;LoanSaleHeld,0,SUM($D463:BE463)*LoanSalePercent)</f>
        <v>253.79374568250583</v>
      </c>
      <c r="BF464" s="225">
        <f>IF(BF456-101&lt;&gt;LoanSaleHeld,0,SUM($D463:BF463)*LoanSalePercent)</f>
        <v>0</v>
      </c>
      <c r="BG464" s="225">
        <f>IF(BG456-101&lt;&gt;LoanSaleHeld,0,SUM($D463:BG463)*LoanSalePercent)</f>
        <v>0</v>
      </c>
      <c r="BH464" s="225">
        <f>IF(BH456-101&lt;&gt;LoanSaleHeld,0,SUM($D463:BH463)*LoanSalePercent)</f>
        <v>0</v>
      </c>
      <c r="BI464" s="225">
        <f>IF(BI456-101&lt;&gt;LoanSaleHeld,0,SUM($D463:BI463)*LoanSalePercent)</f>
        <v>0</v>
      </c>
      <c r="BJ464" s="225">
        <f>IF(BJ456-101&lt;&gt;LoanSaleHeld,0,SUM($D463:BJ463)*LoanSalePercent)</f>
        <v>0</v>
      </c>
      <c r="BK464" s="225">
        <f>IF(BK456-101&lt;&gt;LoanSaleHeld,0,SUM($D463:BK463)*LoanSalePercent)</f>
        <v>0</v>
      </c>
    </row>
    <row r="465" spans="1:63" ht="7.8" x14ac:dyDescent="0.15">
      <c r="A465" s="204">
        <f t="shared" ref="A465" si="5476">A456+1</f>
        <v>52</v>
      </c>
      <c r="B465" s="192"/>
      <c r="C465" s="192"/>
      <c r="D465" s="192"/>
      <c r="E465" s="192"/>
      <c r="F465" s="192"/>
      <c r="G465" s="192"/>
      <c r="H465" s="192"/>
      <c r="I465" s="192"/>
      <c r="J465" s="192"/>
      <c r="K465" s="192"/>
      <c r="L465" s="192"/>
      <c r="M465" s="192"/>
      <c r="N465" s="192"/>
      <c r="O465" s="192"/>
      <c r="P465" s="192"/>
      <c r="Q465" s="192"/>
      <c r="R465" s="192"/>
      <c r="S465" s="192"/>
      <c r="T465" s="192"/>
      <c r="U465" s="192"/>
      <c r="V465" s="192"/>
      <c r="W465" s="192"/>
      <c r="X465" s="192"/>
      <c r="Y465" s="192"/>
      <c r="Z465" s="192"/>
      <c r="AA465" s="192"/>
      <c r="AB465" s="192"/>
      <c r="AC465" s="192"/>
      <c r="AD465" s="192"/>
      <c r="AE465" s="192"/>
      <c r="AF465" s="192"/>
      <c r="AG465" s="192"/>
      <c r="AH465" s="192"/>
      <c r="AI465" s="192"/>
      <c r="AJ465" s="192"/>
      <c r="AK465" s="192"/>
      <c r="AL465" s="192"/>
      <c r="AM465" s="192"/>
      <c r="AN465" s="192"/>
      <c r="AO465" s="192"/>
      <c r="AP465" s="192"/>
      <c r="AQ465" s="192"/>
      <c r="AR465" s="192"/>
      <c r="AS465" s="192"/>
      <c r="AT465" s="192"/>
      <c r="AU465" s="192"/>
      <c r="AV465" s="192"/>
      <c r="AW465" s="192"/>
      <c r="AX465" s="192"/>
      <c r="AY465" s="192"/>
      <c r="AZ465" s="192"/>
      <c r="BA465" s="192"/>
      <c r="BB465" s="192"/>
      <c r="BC465" s="195">
        <v>101</v>
      </c>
      <c r="BD465" s="196">
        <f t="shared" ref="BD465" si="5477">IF(BD466=0,0,BC465+1)</f>
        <v>102</v>
      </c>
      <c r="BE465" s="196">
        <f t="shared" ref="BE465" si="5478">IF(BE466=0,0,BD465+1)</f>
        <v>103</v>
      </c>
      <c r="BF465" s="196">
        <f t="shared" ref="BF465" si="5479">IF(BF466=0,0,BE465+1)</f>
        <v>104</v>
      </c>
      <c r="BG465" s="196">
        <f t="shared" ref="BG465" si="5480">IF(BG466=0,0,BF465+1)</f>
        <v>105</v>
      </c>
      <c r="BH465" s="196">
        <f t="shared" ref="BH465" si="5481">IF(BH466=0,0,BG465+1)</f>
        <v>106</v>
      </c>
      <c r="BI465" s="196">
        <f t="shared" ref="BI465" si="5482">IF(BI466=0,0,BH465+1)</f>
        <v>107</v>
      </c>
      <c r="BJ465" s="196">
        <f t="shared" ref="BJ465" si="5483">IF(BJ466=0,0,BI465+1)</f>
        <v>108</v>
      </c>
      <c r="BK465" s="196">
        <f t="shared" ref="BK465" si="5484">IF(BK466=0,0,BJ465+1)</f>
        <v>109</v>
      </c>
    </row>
    <row r="466" spans="1:63" ht="7.8" x14ac:dyDescent="0.15">
      <c r="A466" s="216" t="s">
        <v>178</v>
      </c>
      <c r="B466" s="192"/>
      <c r="C466" s="192"/>
      <c r="D466" s="192"/>
      <c r="E466" s="192"/>
      <c r="F466" s="192"/>
      <c r="G466" s="192"/>
      <c r="H466" s="192"/>
      <c r="I466" s="192"/>
      <c r="J466" s="192"/>
      <c r="K466" s="192"/>
      <c r="L466" s="192"/>
      <c r="M466" s="192"/>
      <c r="N466" s="192"/>
      <c r="O466" s="192"/>
      <c r="P466" s="192"/>
      <c r="Q466" s="192"/>
      <c r="R466" s="192"/>
      <c r="S466" s="192"/>
      <c r="T466" s="192"/>
      <c r="U466" s="192"/>
      <c r="V466" s="192"/>
      <c r="W466" s="192"/>
      <c r="X466" s="192"/>
      <c r="Y466" s="192"/>
      <c r="Z466" s="192"/>
      <c r="AA466" s="192"/>
      <c r="AB466" s="192"/>
      <c r="AC466" s="192"/>
      <c r="AD466" s="192"/>
      <c r="AE466" s="192"/>
      <c r="AF466" s="192"/>
      <c r="AG466" s="192"/>
      <c r="AH466" s="192"/>
      <c r="AI466" s="192"/>
      <c r="AJ466" s="192"/>
      <c r="AK466" s="192"/>
      <c r="AL466" s="192"/>
      <c r="AM466" s="192"/>
      <c r="AN466" s="192"/>
      <c r="AO466" s="192"/>
      <c r="AP466" s="192"/>
      <c r="AQ466" s="192"/>
      <c r="AR466" s="192"/>
      <c r="AS466" s="192"/>
      <c r="AT466" s="192"/>
      <c r="AU466" s="192"/>
      <c r="AV466" s="192"/>
      <c r="AW466" s="192"/>
      <c r="AX466" s="192"/>
      <c r="AY466" s="192"/>
      <c r="AZ466" s="192"/>
      <c r="BA466" s="192"/>
      <c r="BB466" s="192"/>
      <c r="BC466" s="217">
        <f>LoanSize</f>
        <v>25</v>
      </c>
      <c r="BD466" s="215">
        <f>IF(BC466-BC469&lt;=0.1,0,BC466-BC469)</f>
        <v>23.79027212253634</v>
      </c>
      <c r="BE466" s="215">
        <f t="shared" ref="BE466:BK466" si="5485">IF(BD466-BD469&lt;=0.1,0,BD466-BD469)</f>
        <v>22.56189427362845</v>
      </c>
      <c r="BF466" s="215">
        <f t="shared" si="5485"/>
        <v>21.314578932883229</v>
      </c>
      <c r="BG466" s="215">
        <f t="shared" si="5485"/>
        <v>20.048034147301522</v>
      </c>
      <c r="BH466" s="215">
        <f t="shared" si="5485"/>
        <v>18.761963462942095</v>
      </c>
      <c r="BI466" s="215">
        <f t="shared" si="5485"/>
        <v>17.456065855532128</v>
      </c>
      <c r="BJ466" s="215">
        <f t="shared" si="5485"/>
        <v>16.130035660007923</v>
      </c>
      <c r="BK466" s="215">
        <f t="shared" si="5485"/>
        <v>14.783562498969387</v>
      </c>
    </row>
    <row r="467" spans="1:63" ht="7.8" x14ac:dyDescent="0.15">
      <c r="A467" s="218" t="s">
        <v>179</v>
      </c>
      <c r="B467" s="192"/>
      <c r="C467" s="192"/>
      <c r="D467" s="192"/>
      <c r="E467" s="192"/>
      <c r="F467" s="192"/>
      <c r="G467" s="192"/>
      <c r="H467" s="192"/>
      <c r="I467" s="192"/>
      <c r="J467" s="192"/>
      <c r="K467" s="192"/>
      <c r="L467" s="192"/>
      <c r="M467" s="192"/>
      <c r="N467" s="192"/>
      <c r="O467" s="192"/>
      <c r="P467" s="192"/>
      <c r="Q467" s="192"/>
      <c r="R467" s="192"/>
      <c r="S467" s="192"/>
      <c r="T467" s="192"/>
      <c r="U467" s="192"/>
      <c r="V467" s="192"/>
      <c r="W467" s="192"/>
      <c r="X467" s="192"/>
      <c r="Y467" s="192"/>
      <c r="Z467" s="192"/>
      <c r="AA467" s="192"/>
      <c r="AB467" s="192"/>
      <c r="AC467" s="192"/>
      <c r="AD467" s="192"/>
      <c r="AE467" s="192"/>
      <c r="AF467" s="192"/>
      <c r="AG467" s="192"/>
      <c r="AH467" s="192"/>
      <c r="AI467" s="192"/>
      <c r="AJ467" s="192"/>
      <c r="AK467" s="192"/>
      <c r="AL467" s="192"/>
      <c r="AM467" s="192"/>
      <c r="AN467" s="192"/>
      <c r="AO467" s="192"/>
      <c r="AP467" s="192"/>
      <c r="AQ467" s="192"/>
      <c r="AR467" s="192"/>
      <c r="AS467" s="192"/>
      <c r="AT467" s="192"/>
      <c r="AU467" s="192"/>
      <c r="AV467" s="192"/>
      <c r="AW467" s="192"/>
      <c r="AX467" s="192"/>
      <c r="AY467" s="192"/>
      <c r="AZ467" s="192"/>
      <c r="BA467" s="192"/>
      <c r="BB467" s="192"/>
      <c r="BC467" s="219">
        <f>IF(BC466=0,0,PMT(INDEX(LoanCohortRate,1),LoanTerm, -LoanSize))</f>
        <v>1.5951445441303251</v>
      </c>
      <c r="BD467" s="222">
        <f t="shared" ref="BD467" si="5486">IF(BD466=0,0, BC467)</f>
        <v>1.5951445441303251</v>
      </c>
      <c r="BE467" s="222">
        <f t="shared" ref="BE467" si="5487">IF(BE466=0,0, BD467)</f>
        <v>1.5951445441303251</v>
      </c>
      <c r="BF467" s="222">
        <f t="shared" ref="BF467" si="5488">IF(BF466=0,0, BE467)</f>
        <v>1.5951445441303251</v>
      </c>
      <c r="BG467" s="222">
        <f t="shared" ref="BG467" si="5489">IF(BG466=0,0, BF467)</f>
        <v>1.5951445441303251</v>
      </c>
      <c r="BH467" s="222">
        <f t="shared" ref="BH467" si="5490">IF(BH466=0,0, BG467)</f>
        <v>1.5951445441303251</v>
      </c>
      <c r="BI467" s="222">
        <f t="shared" ref="BI467" si="5491">IF(BI466=0,0, BH467)</f>
        <v>1.5951445441303251</v>
      </c>
      <c r="BJ467" s="222">
        <f t="shared" ref="BJ467" si="5492">IF(BJ466=0,0, BI467)</f>
        <v>1.5951445441303251</v>
      </c>
      <c r="BK467" s="222">
        <f t="shared" ref="BK467" si="5493">IF(BK466=0,0, BJ467)</f>
        <v>1.5951445441303251</v>
      </c>
    </row>
    <row r="468" spans="1:63" ht="7.8" x14ac:dyDescent="0.15">
      <c r="A468" s="218" t="s">
        <v>180</v>
      </c>
      <c r="B468" s="192"/>
      <c r="C468" s="192"/>
      <c r="D468" s="192"/>
      <c r="E468" s="192"/>
      <c r="F468" s="192"/>
      <c r="G468" s="192"/>
      <c r="H468" s="192"/>
      <c r="I468" s="192"/>
      <c r="J468" s="192"/>
      <c r="K468" s="192"/>
      <c r="L468" s="192"/>
      <c r="M468" s="192"/>
      <c r="N468" s="192"/>
      <c r="O468" s="192"/>
      <c r="P468" s="192"/>
      <c r="Q468" s="192"/>
      <c r="R468" s="192"/>
      <c r="S468" s="192"/>
      <c r="T468" s="192"/>
      <c r="U468" s="192"/>
      <c r="V468" s="192"/>
      <c r="W468" s="192"/>
      <c r="X468" s="192"/>
      <c r="Y468" s="192"/>
      <c r="Z468" s="192"/>
      <c r="AA468" s="192"/>
      <c r="AB468" s="192"/>
      <c r="AC468" s="192"/>
      <c r="AD468" s="192"/>
      <c r="AE468" s="192"/>
      <c r="AF468" s="192"/>
      <c r="AG468" s="192"/>
      <c r="AH468" s="192"/>
      <c r="AI468" s="192"/>
      <c r="AJ468" s="192"/>
      <c r="AK468" s="192"/>
      <c r="AL468" s="192"/>
      <c r="AM468" s="192"/>
      <c r="AN468" s="192"/>
      <c r="AO468" s="192"/>
      <c r="AP468" s="192"/>
      <c r="AQ468" s="192"/>
      <c r="AR468" s="192"/>
      <c r="AS468" s="192"/>
      <c r="AT468" s="192"/>
      <c r="AU468" s="192"/>
      <c r="AV468" s="192"/>
      <c r="AW468" s="192"/>
      <c r="AX468" s="192"/>
      <c r="AY468" s="192"/>
      <c r="AZ468" s="192"/>
      <c r="BA468" s="192"/>
      <c r="BB468" s="192"/>
      <c r="BC468" s="220" cm="1">
        <f t="array" ref="BC468">BC466*INDEX(LoanCohortRate,$A465)</f>
        <v>0.38541666666666669</v>
      </c>
      <c r="BD468" s="221" cm="1">
        <f t="array" ref="BD468">BD466*INDEX(LoanCohortRate,$A465)</f>
        <v>0.36676669522243527</v>
      </c>
      <c r="BE468" s="221" cm="1">
        <f t="array" ref="BE468">BE466*INDEX(LoanCohortRate,$A465)</f>
        <v>0.34782920338510526</v>
      </c>
      <c r="BF468" s="221" cm="1">
        <f t="array" ref="BF468">BF466*INDEX(LoanCohortRate,$A465)</f>
        <v>0.32859975854861645</v>
      </c>
      <c r="BG468" s="221" cm="1">
        <f t="array" ref="BG468">BG466*INDEX(LoanCohortRate,$A465)</f>
        <v>0.30907385977089846</v>
      </c>
      <c r="BH468" s="221" cm="1">
        <f t="array" ref="BH468">BH466*INDEX(LoanCohortRate,$A465)</f>
        <v>0.28924693672035728</v>
      </c>
      <c r="BI468" s="221" cm="1">
        <f t="array" ref="BI468">BI466*INDEX(LoanCohortRate,$A465)</f>
        <v>0.26911434860612032</v>
      </c>
      <c r="BJ468" s="221" cm="1">
        <f t="array" ref="BJ468">BJ466*INDEX(LoanCohortRate,$A465)</f>
        <v>0.24867138309178882</v>
      </c>
      <c r="BK468" s="221" cm="1">
        <f t="array" ref="BK468">BK466*INDEX(LoanCohortRate,$A465)</f>
        <v>0.22791325519244471</v>
      </c>
    </row>
    <row r="469" spans="1:63" ht="7.8" x14ac:dyDescent="0.15">
      <c r="A469" s="218" t="s">
        <v>177</v>
      </c>
      <c r="B469" s="192"/>
      <c r="C469" s="192"/>
      <c r="D469" s="192"/>
      <c r="E469" s="192"/>
      <c r="F469" s="192"/>
      <c r="G469" s="192"/>
      <c r="H469" s="192"/>
      <c r="I469" s="192"/>
      <c r="J469" s="192"/>
      <c r="K469" s="192"/>
      <c r="L469" s="192"/>
      <c r="M469" s="192"/>
      <c r="N469" s="192"/>
      <c r="O469" s="192"/>
      <c r="P469" s="192"/>
      <c r="Q469" s="192"/>
      <c r="R469" s="192"/>
      <c r="S469" s="192"/>
      <c r="T469" s="192"/>
      <c r="U469" s="192"/>
      <c r="V469" s="192"/>
      <c r="W469" s="192"/>
      <c r="X469" s="192"/>
      <c r="Y469" s="192"/>
      <c r="Z469" s="192"/>
      <c r="AA469" s="192"/>
      <c r="AB469" s="192"/>
      <c r="AC469" s="192"/>
      <c r="AD469" s="192"/>
      <c r="AE469" s="192"/>
      <c r="AF469" s="192"/>
      <c r="AG469" s="192"/>
      <c r="AH469" s="192"/>
      <c r="AI469" s="192"/>
      <c r="AJ469" s="192"/>
      <c r="AK469" s="192"/>
      <c r="AL469" s="192"/>
      <c r="AM469" s="192"/>
      <c r="AN469" s="192"/>
      <c r="AO469" s="192"/>
      <c r="AP469" s="192"/>
      <c r="AQ469" s="192"/>
      <c r="AR469" s="192"/>
      <c r="AS469" s="192"/>
      <c r="AT469" s="192"/>
      <c r="AU469" s="192"/>
      <c r="AV469" s="192"/>
      <c r="AW469" s="192"/>
      <c r="AX469" s="192"/>
      <c r="AY469" s="192"/>
      <c r="AZ469" s="192"/>
      <c r="BA469" s="192"/>
      <c r="BB469" s="192"/>
      <c r="BC469" s="219">
        <f>BC467-BC468</f>
        <v>1.2097278774636584</v>
      </c>
      <c r="BD469" s="222">
        <f t="shared" ref="BD469:BK469" si="5494">BD467-BD468</f>
        <v>1.2283778489078898</v>
      </c>
      <c r="BE469" s="222">
        <f t="shared" si="5494"/>
        <v>1.24731534074522</v>
      </c>
      <c r="BF469" s="222">
        <f t="shared" si="5494"/>
        <v>1.2665447855817087</v>
      </c>
      <c r="BG469" s="222">
        <f t="shared" si="5494"/>
        <v>1.2860706843594267</v>
      </c>
      <c r="BH469" s="222">
        <f t="shared" si="5494"/>
        <v>1.305897607409968</v>
      </c>
      <c r="BI469" s="222">
        <f t="shared" si="5494"/>
        <v>1.3260301955242049</v>
      </c>
      <c r="BJ469" s="222">
        <f t="shared" si="5494"/>
        <v>1.3464731610385363</v>
      </c>
      <c r="BK469" s="222">
        <f t="shared" si="5494"/>
        <v>1.3672312889378804</v>
      </c>
    </row>
    <row r="470" spans="1:63" ht="7.8" x14ac:dyDescent="0.15">
      <c r="A470" s="205" t="s">
        <v>7</v>
      </c>
      <c r="B470" s="192"/>
      <c r="C470" s="192"/>
      <c r="D470" s="192"/>
      <c r="E470" s="192"/>
      <c r="F470" s="192"/>
      <c r="G470" s="192"/>
      <c r="H470" s="192"/>
      <c r="I470" s="192"/>
      <c r="J470" s="192"/>
      <c r="K470" s="192"/>
      <c r="L470" s="192"/>
      <c r="M470" s="192"/>
      <c r="N470" s="192"/>
      <c r="O470" s="192"/>
      <c r="P470" s="192"/>
      <c r="Q470" s="192"/>
      <c r="R470" s="192"/>
      <c r="S470" s="192"/>
      <c r="T470" s="192"/>
      <c r="U470" s="192"/>
      <c r="V470" s="192"/>
      <c r="W470" s="192"/>
      <c r="X470" s="192"/>
      <c r="Y470" s="192"/>
      <c r="Z470" s="192"/>
      <c r="AA470" s="192"/>
      <c r="AB470" s="192"/>
      <c r="AC470" s="192"/>
      <c r="AD470" s="192"/>
      <c r="AE470" s="192"/>
      <c r="AF470" s="192"/>
      <c r="AG470" s="192"/>
      <c r="AH470" s="192"/>
      <c r="AI470" s="192"/>
      <c r="AJ470" s="192"/>
      <c r="AK470" s="192"/>
      <c r="AL470" s="192"/>
      <c r="AM470" s="192"/>
      <c r="AN470" s="192"/>
      <c r="AO470" s="192"/>
      <c r="AP470" s="192"/>
      <c r="AQ470" s="192"/>
      <c r="AR470" s="192"/>
      <c r="AS470" s="192"/>
      <c r="AT470" s="192"/>
      <c r="AU470" s="192"/>
      <c r="AV470" s="192"/>
      <c r="AW470" s="192"/>
      <c r="AX470" s="192"/>
      <c r="AY470" s="192"/>
      <c r="AZ470" s="192"/>
      <c r="BA470" s="192"/>
      <c r="BB470" s="192"/>
      <c r="BC470" s="214" cm="1">
        <f t="array" ref="BC470">INDEX(LoanOriginations,$A465)</f>
        <v>128.96419440100397</v>
      </c>
      <c r="BD470" s="199">
        <f t="shared" ref="BD470:BK470" si="5495">BC470*(1-MitigateDelinquency*MitigateChargeoff)  *  IF(BD465=0,0,IF(BD465-102=LoanSaleHeld,0.6,1))</f>
        <v>128.83523020660297</v>
      </c>
      <c r="BE470" s="199">
        <f t="shared" si="5495"/>
        <v>128.70639497639638</v>
      </c>
      <c r="BF470" s="199">
        <f t="shared" si="5495"/>
        <v>128.57768858141998</v>
      </c>
      <c r="BG470" s="199">
        <f t="shared" si="5495"/>
        <v>77.069466535703128</v>
      </c>
      <c r="BH470" s="199">
        <f t="shared" si="5495"/>
        <v>76.992397069167424</v>
      </c>
      <c r="BI470" s="199">
        <f t="shared" si="5495"/>
        <v>76.915404672098262</v>
      </c>
      <c r="BJ470" s="199">
        <f t="shared" si="5495"/>
        <v>76.838489267426169</v>
      </c>
      <c r="BK470" s="199">
        <f t="shared" si="5495"/>
        <v>76.761650778158739</v>
      </c>
    </row>
    <row r="471" spans="1:63" ht="7.8" x14ac:dyDescent="0.15">
      <c r="A471" s="207" t="s">
        <v>96</v>
      </c>
      <c r="B471" s="192"/>
      <c r="C471" s="192"/>
      <c r="D471" s="192"/>
      <c r="E471" s="192"/>
      <c r="F471" s="192"/>
      <c r="G471" s="192"/>
      <c r="H471" s="192"/>
      <c r="I471" s="192"/>
      <c r="J471" s="192"/>
      <c r="K471" s="192"/>
      <c r="L471" s="192"/>
      <c r="M471" s="192"/>
      <c r="N471" s="192"/>
      <c r="O471" s="192"/>
      <c r="P471" s="192"/>
      <c r="Q471" s="192"/>
      <c r="R471" s="192"/>
      <c r="S471" s="192"/>
      <c r="T471" s="192"/>
      <c r="U471" s="192"/>
      <c r="V471" s="192"/>
      <c r="W471" s="192"/>
      <c r="X471" s="192"/>
      <c r="Y471" s="192"/>
      <c r="Z471" s="192"/>
      <c r="AA471" s="192"/>
      <c r="AB471" s="192"/>
      <c r="AC471" s="192"/>
      <c r="AD471" s="192"/>
      <c r="AE471" s="192"/>
      <c r="AF471" s="192"/>
      <c r="AG471" s="192"/>
      <c r="AH471" s="192"/>
      <c r="AI471" s="192"/>
      <c r="AJ471" s="192"/>
      <c r="AK471" s="192"/>
      <c r="AL471" s="192"/>
      <c r="AM471" s="192"/>
      <c r="AN471" s="192"/>
      <c r="AO471" s="192"/>
      <c r="AP471" s="192"/>
      <c r="AQ471" s="192"/>
      <c r="AR471" s="192"/>
      <c r="AS471" s="192"/>
      <c r="AT471" s="192"/>
      <c r="AU471" s="192"/>
      <c r="AV471" s="192"/>
      <c r="AW471" s="192"/>
      <c r="AX471" s="192"/>
      <c r="AY471" s="192"/>
      <c r="AZ471" s="192"/>
      <c r="BA471" s="192"/>
      <c r="BB471" s="192"/>
      <c r="BC471" s="223">
        <f>BC468*BC470</f>
        <v>49.704949925386948</v>
      </c>
      <c r="BD471" s="200">
        <f t="shared" ref="BD471" si="5496">BD468*BD470</f>
        <v>47.252471611097441</v>
      </c>
      <c r="BE471" s="200">
        <f t="shared" ref="BE471" si="5497">BE468*BE470</f>
        <v>44.767842835208668</v>
      </c>
      <c r="BF471" s="200">
        <f t="shared" ref="BF471" si="5498">BF468*BF470</f>
        <v>42.250597422593806</v>
      </c>
      <c r="BG471" s="200">
        <f t="shared" ref="BG471" si="5499">BG468*BG470</f>
        <v>23.820157492673861</v>
      </c>
      <c r="BH471" s="200">
        <f t="shared" ref="BH471" si="5500">BH468*BH470</f>
        <v>22.269815003014092</v>
      </c>
      <c r="BI471" s="200">
        <f t="shared" ref="BI471" si="5501">BI468*BI470</f>
        <v>20.699039026107869</v>
      </c>
      <c r="BJ471" s="200">
        <f t="shared" ref="BJ471" si="5502">BJ468*BJ470</f>
        <v>19.107533400814436</v>
      </c>
      <c r="BK471" s="200">
        <f t="shared" ref="BK471" si="5503">BK468*BK470</f>
        <v>17.494997702795814</v>
      </c>
    </row>
    <row r="472" spans="1:63" ht="7.8" x14ac:dyDescent="0.15">
      <c r="A472" s="206" t="s">
        <v>97</v>
      </c>
      <c r="B472" s="192"/>
      <c r="C472" s="192"/>
      <c r="D472" s="192"/>
      <c r="E472" s="192"/>
      <c r="F472" s="192"/>
      <c r="G472" s="192"/>
      <c r="H472" s="192"/>
      <c r="I472" s="192"/>
      <c r="J472" s="192"/>
      <c r="K472" s="192"/>
      <c r="L472" s="192"/>
      <c r="M472" s="192"/>
      <c r="N472" s="192"/>
      <c r="O472" s="192"/>
      <c r="P472" s="192"/>
      <c r="Q472" s="192"/>
      <c r="R472" s="192"/>
      <c r="S472" s="192"/>
      <c r="T472" s="192"/>
      <c r="U472" s="192"/>
      <c r="V472" s="192"/>
      <c r="W472" s="192"/>
      <c r="X472" s="192"/>
      <c r="Y472" s="192"/>
      <c r="Z472" s="192"/>
      <c r="AA472" s="192"/>
      <c r="AB472" s="192"/>
      <c r="AC472" s="192"/>
      <c r="AD472" s="192"/>
      <c r="AE472" s="192"/>
      <c r="AF472" s="192"/>
      <c r="AG472" s="192"/>
      <c r="AH472" s="192"/>
      <c r="AI472" s="192"/>
      <c r="AJ472" s="192"/>
      <c r="AK472" s="192"/>
      <c r="AL472" s="192"/>
      <c r="AM472" s="192"/>
      <c r="AN472" s="192"/>
      <c r="AO472" s="192"/>
      <c r="AP472" s="192"/>
      <c r="AQ472" s="192"/>
      <c r="AR472" s="192"/>
      <c r="AS472" s="192"/>
      <c r="AT472" s="192"/>
      <c r="AU472" s="192"/>
      <c r="AV472" s="192"/>
      <c r="AW472" s="192"/>
      <c r="AX472" s="192"/>
      <c r="AY472" s="192"/>
      <c r="AZ472" s="192"/>
      <c r="BA472" s="192"/>
      <c r="BB472" s="192"/>
      <c r="BC472" s="223">
        <f>BC469*BC470</f>
        <v>156.01158116153715</v>
      </c>
      <c r="BD472" s="200">
        <f>BD469*BD470</f>
        <v>158.25834294473975</v>
      </c>
      <c r="BE472" s="200">
        <f t="shared" ref="BE472:BK472" si="5504">BE469*BE470</f>
        <v>160.53746090607271</v>
      </c>
      <c r="BF472" s="200">
        <f t="shared" si="5504"/>
        <v>162.84940101494627</v>
      </c>
      <c r="BG472" s="200">
        <f t="shared" si="5504"/>
        <v>99.116781570787666</v>
      </c>
      <c r="BH472" s="200">
        <f t="shared" si="5504"/>
        <v>100.54418712138397</v>
      </c>
      <c r="BI472" s="200">
        <f t="shared" si="5504"/>
        <v>101.9921490961658</v>
      </c>
      <c r="BJ472" s="200">
        <f t="shared" si="5504"/>
        <v>103.46096353333697</v>
      </c>
      <c r="BK472" s="200">
        <f t="shared" si="5504"/>
        <v>104.95093073442142</v>
      </c>
    </row>
    <row r="473" spans="1:63" ht="7.8" x14ac:dyDescent="0.15">
      <c r="A473" s="208" t="s">
        <v>203</v>
      </c>
      <c r="B473" s="192"/>
      <c r="C473" s="192"/>
      <c r="D473" s="192"/>
      <c r="E473" s="192"/>
      <c r="F473" s="192"/>
      <c r="G473" s="192"/>
      <c r="H473" s="192"/>
      <c r="I473" s="192"/>
      <c r="J473" s="192"/>
      <c r="K473" s="192"/>
      <c r="L473" s="192"/>
      <c r="M473" s="192"/>
      <c r="N473" s="192"/>
      <c r="O473" s="192"/>
      <c r="P473" s="192"/>
      <c r="Q473" s="192"/>
      <c r="R473" s="192"/>
      <c r="S473" s="192"/>
      <c r="T473" s="192"/>
      <c r="U473" s="192"/>
      <c r="V473" s="192"/>
      <c r="W473" s="192"/>
      <c r="X473" s="192"/>
      <c r="Y473" s="192"/>
      <c r="Z473" s="192"/>
      <c r="AA473" s="192"/>
      <c r="AB473" s="192"/>
      <c r="AC473" s="192"/>
      <c r="AD473" s="192"/>
      <c r="AE473" s="192"/>
      <c r="AF473" s="192"/>
      <c r="AG473" s="192"/>
      <c r="AH473" s="192"/>
      <c r="AI473" s="192"/>
      <c r="AJ473" s="192"/>
      <c r="AK473" s="192"/>
      <c r="AL473" s="192"/>
      <c r="AM473" s="192"/>
      <c r="AN473" s="192"/>
      <c r="AO473" s="192"/>
      <c r="AP473" s="192"/>
      <c r="AQ473" s="192"/>
      <c r="AR473" s="192"/>
      <c r="AS473" s="192"/>
      <c r="AT473" s="192"/>
      <c r="AU473" s="192"/>
      <c r="AV473" s="192"/>
      <c r="AW473" s="192"/>
      <c r="AX473" s="192"/>
      <c r="AY473" s="192"/>
      <c r="AZ473" s="192"/>
      <c r="BA473" s="192"/>
      <c r="BB473" s="192"/>
      <c r="BC473" s="224">
        <f>IF(BC465-101&lt;&gt;LoanSaleHeld,0,SUM($D472:BC472)*LoanSalePercent)</f>
        <v>0</v>
      </c>
      <c r="BD473" s="225">
        <f>IF(BD465-101&lt;&gt;LoanSaleHeld,0,SUM($D472:BD472)*LoanSalePercent)</f>
        <v>0</v>
      </c>
      <c r="BE473" s="225">
        <f>IF(BE465-101&lt;&gt;LoanSaleHeld,0,SUM($D472:BE472)*LoanSalePercent)</f>
        <v>0</v>
      </c>
      <c r="BF473" s="225">
        <f>IF(BF465-101&lt;&gt;LoanSaleHeld,0,SUM($D472:BF472)*LoanSalePercent)</f>
        <v>255.06271441091837</v>
      </c>
      <c r="BG473" s="225">
        <f>IF(BG465-101&lt;&gt;LoanSaleHeld,0,SUM($D472:BG472)*LoanSalePercent)</f>
        <v>0</v>
      </c>
      <c r="BH473" s="225">
        <f>IF(BH465-101&lt;&gt;LoanSaleHeld,0,SUM($D472:BH472)*LoanSalePercent)</f>
        <v>0</v>
      </c>
      <c r="BI473" s="225">
        <f>IF(BI465-101&lt;&gt;LoanSaleHeld,0,SUM($D472:BI472)*LoanSalePercent)</f>
        <v>0</v>
      </c>
      <c r="BJ473" s="225">
        <f>IF(BJ465-101&lt;&gt;LoanSaleHeld,0,SUM($D472:BJ472)*LoanSalePercent)</f>
        <v>0</v>
      </c>
      <c r="BK473" s="225">
        <f>IF(BK465-101&lt;&gt;LoanSaleHeld,0,SUM($D472:BK472)*LoanSalePercent)</f>
        <v>0</v>
      </c>
    </row>
    <row r="474" spans="1:63" ht="7.8" x14ac:dyDescent="0.15">
      <c r="A474" s="204">
        <f t="shared" ref="A474" si="5505">A465+1</f>
        <v>53</v>
      </c>
      <c r="B474" s="192"/>
      <c r="C474" s="192"/>
      <c r="D474" s="192"/>
      <c r="E474" s="192"/>
      <c r="F474" s="192"/>
      <c r="G474" s="192"/>
      <c r="H474" s="192"/>
      <c r="I474" s="192"/>
      <c r="J474" s="192"/>
      <c r="K474" s="192"/>
      <c r="L474" s="192"/>
      <c r="M474" s="192"/>
      <c r="N474" s="192"/>
      <c r="O474" s="192"/>
      <c r="P474" s="192"/>
      <c r="Q474" s="192"/>
      <c r="R474" s="192"/>
      <c r="S474" s="192"/>
      <c r="T474" s="192"/>
      <c r="U474" s="192"/>
      <c r="V474" s="192"/>
      <c r="W474" s="192"/>
      <c r="X474" s="192"/>
      <c r="Y474" s="192"/>
      <c r="Z474" s="192"/>
      <c r="AA474" s="192"/>
      <c r="AB474" s="192"/>
      <c r="AC474" s="192"/>
      <c r="AD474" s="192"/>
      <c r="AE474" s="192"/>
      <c r="AF474" s="192"/>
      <c r="AG474" s="192"/>
      <c r="AH474" s="192"/>
      <c r="AI474" s="192"/>
      <c r="AJ474" s="192"/>
      <c r="AK474" s="192"/>
      <c r="AL474" s="192"/>
      <c r="AM474" s="192"/>
      <c r="AN474" s="192"/>
      <c r="AO474" s="192"/>
      <c r="AP474" s="192"/>
      <c r="AQ474" s="192"/>
      <c r="AR474" s="192"/>
      <c r="AS474" s="192"/>
      <c r="AT474" s="192"/>
      <c r="AU474" s="192"/>
      <c r="AV474" s="192"/>
      <c r="AW474" s="192"/>
      <c r="AX474" s="192"/>
      <c r="AY474" s="192"/>
      <c r="AZ474" s="192"/>
      <c r="BA474" s="192"/>
      <c r="BB474" s="192"/>
      <c r="BC474" s="192"/>
      <c r="BD474" s="195">
        <v>101</v>
      </c>
      <c r="BE474" s="196">
        <f t="shared" ref="BE474" si="5506">IF(BE475=0,0,BD474+1)</f>
        <v>102</v>
      </c>
      <c r="BF474" s="196">
        <f t="shared" ref="BF474" si="5507">IF(BF475=0,0,BE474+1)</f>
        <v>103</v>
      </c>
      <c r="BG474" s="196">
        <f t="shared" ref="BG474" si="5508">IF(BG475=0,0,BF474+1)</f>
        <v>104</v>
      </c>
      <c r="BH474" s="196">
        <f t="shared" ref="BH474" si="5509">IF(BH475=0,0,BG474+1)</f>
        <v>105</v>
      </c>
      <c r="BI474" s="196">
        <f t="shared" ref="BI474" si="5510">IF(BI475=0,0,BH474+1)</f>
        <v>106</v>
      </c>
      <c r="BJ474" s="196">
        <f t="shared" ref="BJ474" si="5511">IF(BJ475=0,0,BI474+1)</f>
        <v>107</v>
      </c>
      <c r="BK474" s="196">
        <f t="shared" ref="BK474" si="5512">IF(BK475=0,0,BJ474+1)</f>
        <v>108</v>
      </c>
    </row>
    <row r="475" spans="1:63" ht="7.8" x14ac:dyDescent="0.15">
      <c r="A475" s="216" t="s">
        <v>178</v>
      </c>
      <c r="B475" s="192"/>
      <c r="C475" s="192"/>
      <c r="D475" s="192"/>
      <c r="E475" s="192"/>
      <c r="F475" s="192"/>
      <c r="G475" s="192"/>
      <c r="H475" s="192"/>
      <c r="I475" s="192"/>
      <c r="J475" s="192"/>
      <c r="K475" s="192"/>
      <c r="L475" s="192"/>
      <c r="M475" s="192"/>
      <c r="N475" s="192"/>
      <c r="O475" s="192"/>
      <c r="P475" s="192"/>
      <c r="Q475" s="192"/>
      <c r="R475" s="192"/>
      <c r="S475" s="192"/>
      <c r="T475" s="192"/>
      <c r="U475" s="192"/>
      <c r="V475" s="192"/>
      <c r="W475" s="192"/>
      <c r="X475" s="192"/>
      <c r="Y475" s="192"/>
      <c r="Z475" s="192"/>
      <c r="AA475" s="192"/>
      <c r="AB475" s="192"/>
      <c r="AC475" s="192"/>
      <c r="AD475" s="192"/>
      <c r="AE475" s="192"/>
      <c r="AF475" s="192"/>
      <c r="AG475" s="192"/>
      <c r="AH475" s="192"/>
      <c r="AI475" s="192"/>
      <c r="AJ475" s="192"/>
      <c r="AK475" s="192"/>
      <c r="AL475" s="192"/>
      <c r="AM475" s="192"/>
      <c r="AN475" s="192"/>
      <c r="AO475" s="192"/>
      <c r="AP475" s="192"/>
      <c r="AQ475" s="192"/>
      <c r="AR475" s="192"/>
      <c r="AS475" s="192"/>
      <c r="AT475" s="192"/>
      <c r="AU475" s="192"/>
      <c r="AV475" s="192"/>
      <c r="AW475" s="192"/>
      <c r="AX475" s="192"/>
      <c r="AY475" s="192"/>
      <c r="AZ475" s="192"/>
      <c r="BA475" s="192"/>
      <c r="BB475" s="192"/>
      <c r="BC475" s="192"/>
      <c r="BD475" s="217">
        <f>LoanSize</f>
        <v>25</v>
      </c>
      <c r="BE475" s="215">
        <f>IF(BD475-BD478&lt;=0.1,0,BD475-BD478)</f>
        <v>23.79027212253634</v>
      </c>
      <c r="BF475" s="215">
        <f t="shared" ref="BF475:BK475" si="5513">IF(BE475-BE478&lt;=0.1,0,BE475-BE478)</f>
        <v>22.56189427362845</v>
      </c>
      <c r="BG475" s="215">
        <f t="shared" si="5513"/>
        <v>21.314578932883229</v>
      </c>
      <c r="BH475" s="215">
        <f t="shared" si="5513"/>
        <v>20.048034147301522</v>
      </c>
      <c r="BI475" s="215">
        <f t="shared" si="5513"/>
        <v>18.761963462942095</v>
      </c>
      <c r="BJ475" s="215">
        <f t="shared" si="5513"/>
        <v>17.456065855532128</v>
      </c>
      <c r="BK475" s="215">
        <f t="shared" si="5513"/>
        <v>16.130035660007923</v>
      </c>
    </row>
    <row r="476" spans="1:63" ht="7.8" x14ac:dyDescent="0.15">
      <c r="A476" s="218" t="s">
        <v>179</v>
      </c>
      <c r="B476" s="192"/>
      <c r="C476" s="192"/>
      <c r="D476" s="192"/>
      <c r="E476" s="192"/>
      <c r="F476" s="192"/>
      <c r="G476" s="192"/>
      <c r="H476" s="192"/>
      <c r="I476" s="192"/>
      <c r="J476" s="192"/>
      <c r="K476" s="192"/>
      <c r="L476" s="192"/>
      <c r="M476" s="192"/>
      <c r="N476" s="192"/>
      <c r="O476" s="192"/>
      <c r="P476" s="192"/>
      <c r="Q476" s="192"/>
      <c r="R476" s="192"/>
      <c r="S476" s="192"/>
      <c r="T476" s="192"/>
      <c r="U476" s="192"/>
      <c r="V476" s="192"/>
      <c r="W476" s="192"/>
      <c r="X476" s="192"/>
      <c r="Y476" s="192"/>
      <c r="Z476" s="192"/>
      <c r="AA476" s="192"/>
      <c r="AB476" s="192"/>
      <c r="AC476" s="192"/>
      <c r="AD476" s="192"/>
      <c r="AE476" s="192"/>
      <c r="AF476" s="192"/>
      <c r="AG476" s="192"/>
      <c r="AH476" s="192"/>
      <c r="AI476" s="192"/>
      <c r="AJ476" s="192"/>
      <c r="AK476" s="192"/>
      <c r="AL476" s="192"/>
      <c r="AM476" s="192"/>
      <c r="AN476" s="192"/>
      <c r="AO476" s="192"/>
      <c r="AP476" s="192"/>
      <c r="AQ476" s="192"/>
      <c r="AR476" s="192"/>
      <c r="AS476" s="192"/>
      <c r="AT476" s="192"/>
      <c r="AU476" s="192"/>
      <c r="AV476" s="192"/>
      <c r="AW476" s="192"/>
      <c r="AX476" s="192"/>
      <c r="AY476" s="192"/>
      <c r="AZ476" s="192"/>
      <c r="BA476" s="192"/>
      <c r="BB476" s="192"/>
      <c r="BC476" s="192"/>
      <c r="BD476" s="219">
        <f>IF(BD475=0,0,PMT(INDEX(LoanCohortRate,1),LoanTerm, -LoanSize))</f>
        <v>1.5951445441303251</v>
      </c>
      <c r="BE476" s="222">
        <f t="shared" ref="BE476" si="5514">IF(BE475=0,0, BD476)</f>
        <v>1.5951445441303251</v>
      </c>
      <c r="BF476" s="222">
        <f t="shared" ref="BF476" si="5515">IF(BF475=0,0, BE476)</f>
        <v>1.5951445441303251</v>
      </c>
      <c r="BG476" s="222">
        <f t="shared" ref="BG476" si="5516">IF(BG475=0,0, BF476)</f>
        <v>1.5951445441303251</v>
      </c>
      <c r="BH476" s="222">
        <f t="shared" ref="BH476" si="5517">IF(BH475=0,0, BG476)</f>
        <v>1.5951445441303251</v>
      </c>
      <c r="BI476" s="222">
        <f t="shared" ref="BI476" si="5518">IF(BI475=0,0, BH476)</f>
        <v>1.5951445441303251</v>
      </c>
      <c r="BJ476" s="222">
        <f t="shared" ref="BJ476" si="5519">IF(BJ475=0,0, BI476)</f>
        <v>1.5951445441303251</v>
      </c>
      <c r="BK476" s="222">
        <f t="shared" ref="BK476" si="5520">IF(BK475=0,0, BJ476)</f>
        <v>1.5951445441303251</v>
      </c>
    </row>
    <row r="477" spans="1:63" ht="7.8" x14ac:dyDescent="0.15">
      <c r="A477" s="218" t="s">
        <v>180</v>
      </c>
      <c r="B477" s="192"/>
      <c r="C477" s="192"/>
      <c r="D477" s="192"/>
      <c r="E477" s="192"/>
      <c r="F477" s="192"/>
      <c r="G477" s="192"/>
      <c r="H477" s="192"/>
      <c r="I477" s="192"/>
      <c r="J477" s="192"/>
      <c r="K477" s="192"/>
      <c r="L477" s="192"/>
      <c r="M477" s="192"/>
      <c r="N477" s="192"/>
      <c r="O477" s="192"/>
      <c r="P477" s="192"/>
      <c r="Q477" s="192"/>
      <c r="R477" s="192"/>
      <c r="S477" s="192"/>
      <c r="T477" s="192"/>
      <c r="U477" s="192"/>
      <c r="V477" s="192"/>
      <c r="W477" s="192"/>
      <c r="X477" s="192"/>
      <c r="Y477" s="192"/>
      <c r="Z477" s="192"/>
      <c r="AA477" s="192"/>
      <c r="AB477" s="192"/>
      <c r="AC477" s="192"/>
      <c r="AD477" s="192"/>
      <c r="AE477" s="192"/>
      <c r="AF477" s="192"/>
      <c r="AG477" s="192"/>
      <c r="AH477" s="192"/>
      <c r="AI477" s="192"/>
      <c r="AJ477" s="192"/>
      <c r="AK477" s="192"/>
      <c r="AL477" s="192"/>
      <c r="AM477" s="192"/>
      <c r="AN477" s="192"/>
      <c r="AO477" s="192"/>
      <c r="AP477" s="192"/>
      <c r="AQ477" s="192"/>
      <c r="AR477" s="192"/>
      <c r="AS477" s="192"/>
      <c r="AT477" s="192"/>
      <c r="AU477" s="192"/>
      <c r="AV477" s="192"/>
      <c r="AW477" s="192"/>
      <c r="AX477" s="192"/>
      <c r="AY477" s="192"/>
      <c r="AZ477" s="192"/>
      <c r="BA477" s="192"/>
      <c r="BB477" s="192"/>
      <c r="BC477" s="192"/>
      <c r="BD477" s="220" cm="1">
        <f t="array" ref="BD477">BD475*INDEX(LoanCohortRate,$A474)</f>
        <v>0.38541666666666669</v>
      </c>
      <c r="BE477" s="221" cm="1">
        <f t="array" ref="BE477">BE475*INDEX(LoanCohortRate,$A474)</f>
        <v>0.36676669522243527</v>
      </c>
      <c r="BF477" s="221" cm="1">
        <f t="array" ref="BF477">BF475*INDEX(LoanCohortRate,$A474)</f>
        <v>0.34782920338510526</v>
      </c>
      <c r="BG477" s="221" cm="1">
        <f t="array" ref="BG477">BG475*INDEX(LoanCohortRate,$A474)</f>
        <v>0.32859975854861645</v>
      </c>
      <c r="BH477" s="221" cm="1">
        <f t="array" ref="BH477">BH475*INDEX(LoanCohortRate,$A474)</f>
        <v>0.30907385977089846</v>
      </c>
      <c r="BI477" s="221" cm="1">
        <f t="array" ref="BI477">BI475*INDEX(LoanCohortRate,$A474)</f>
        <v>0.28924693672035728</v>
      </c>
      <c r="BJ477" s="221" cm="1">
        <f t="array" ref="BJ477">BJ475*INDEX(LoanCohortRate,$A474)</f>
        <v>0.26911434860612032</v>
      </c>
      <c r="BK477" s="221" cm="1">
        <f t="array" ref="BK477">BK475*INDEX(LoanCohortRate,$A474)</f>
        <v>0.24867138309178882</v>
      </c>
    </row>
    <row r="478" spans="1:63" ht="7.8" x14ac:dyDescent="0.15">
      <c r="A478" s="218" t="s">
        <v>177</v>
      </c>
      <c r="B478" s="192"/>
      <c r="C478" s="192"/>
      <c r="D478" s="192"/>
      <c r="E478" s="192"/>
      <c r="F478" s="192"/>
      <c r="G478" s="192"/>
      <c r="H478" s="192"/>
      <c r="I478" s="192"/>
      <c r="J478" s="192"/>
      <c r="K478" s="192"/>
      <c r="L478" s="192"/>
      <c r="M478" s="192"/>
      <c r="N478" s="192"/>
      <c r="O478" s="192"/>
      <c r="P478" s="192"/>
      <c r="Q478" s="192"/>
      <c r="R478" s="192"/>
      <c r="S478" s="192"/>
      <c r="T478" s="192"/>
      <c r="U478" s="192"/>
      <c r="V478" s="192"/>
      <c r="W478" s="192"/>
      <c r="X478" s="192"/>
      <c r="Y478" s="192"/>
      <c r="Z478" s="192"/>
      <c r="AA478" s="192"/>
      <c r="AB478" s="192"/>
      <c r="AC478" s="192"/>
      <c r="AD478" s="192"/>
      <c r="AE478" s="192"/>
      <c r="AF478" s="192"/>
      <c r="AG478" s="192"/>
      <c r="AH478" s="192"/>
      <c r="AI478" s="192"/>
      <c r="AJ478" s="192"/>
      <c r="AK478" s="192"/>
      <c r="AL478" s="192"/>
      <c r="AM478" s="192"/>
      <c r="AN478" s="192"/>
      <c r="AO478" s="192"/>
      <c r="AP478" s="192"/>
      <c r="AQ478" s="192"/>
      <c r="AR478" s="192"/>
      <c r="AS478" s="192"/>
      <c r="AT478" s="192"/>
      <c r="AU478" s="192"/>
      <c r="AV478" s="192"/>
      <c r="AW478" s="192"/>
      <c r="AX478" s="192"/>
      <c r="AY478" s="192"/>
      <c r="AZ478" s="192"/>
      <c r="BA478" s="192"/>
      <c r="BB478" s="192"/>
      <c r="BC478" s="192"/>
      <c r="BD478" s="219">
        <f>BD476-BD477</f>
        <v>1.2097278774636584</v>
      </c>
      <c r="BE478" s="222">
        <f t="shared" ref="BE478:BK478" si="5521">BE476-BE477</f>
        <v>1.2283778489078898</v>
      </c>
      <c r="BF478" s="222">
        <f t="shared" si="5521"/>
        <v>1.24731534074522</v>
      </c>
      <c r="BG478" s="222">
        <f t="shared" si="5521"/>
        <v>1.2665447855817087</v>
      </c>
      <c r="BH478" s="222">
        <f t="shared" si="5521"/>
        <v>1.2860706843594267</v>
      </c>
      <c r="BI478" s="222">
        <f t="shared" si="5521"/>
        <v>1.305897607409968</v>
      </c>
      <c r="BJ478" s="222">
        <f t="shared" si="5521"/>
        <v>1.3260301955242049</v>
      </c>
      <c r="BK478" s="222">
        <f t="shared" si="5521"/>
        <v>1.3464731610385363</v>
      </c>
    </row>
    <row r="479" spans="1:63" ht="7.8" x14ac:dyDescent="0.15">
      <c r="A479" s="205" t="s">
        <v>7</v>
      </c>
      <c r="B479" s="192"/>
      <c r="C479" s="192"/>
      <c r="D479" s="192"/>
      <c r="E479" s="192"/>
      <c r="F479" s="192"/>
      <c r="G479" s="192"/>
      <c r="H479" s="192"/>
      <c r="I479" s="192"/>
      <c r="J479" s="192"/>
      <c r="K479" s="192"/>
      <c r="L479" s="192"/>
      <c r="M479" s="192"/>
      <c r="N479" s="192"/>
      <c r="O479" s="192"/>
      <c r="P479" s="192"/>
      <c r="Q479" s="192"/>
      <c r="R479" s="192"/>
      <c r="S479" s="192"/>
      <c r="T479" s="192"/>
      <c r="U479" s="192"/>
      <c r="V479" s="192"/>
      <c r="W479" s="192"/>
      <c r="X479" s="192"/>
      <c r="Y479" s="192"/>
      <c r="Z479" s="192"/>
      <c r="AA479" s="192"/>
      <c r="AB479" s="192"/>
      <c r="AC479" s="192"/>
      <c r="AD479" s="192"/>
      <c r="AE479" s="192"/>
      <c r="AF479" s="192"/>
      <c r="AG479" s="192"/>
      <c r="AH479" s="192"/>
      <c r="AI479" s="192"/>
      <c r="AJ479" s="192"/>
      <c r="AK479" s="192"/>
      <c r="AL479" s="192"/>
      <c r="AM479" s="192"/>
      <c r="AN479" s="192"/>
      <c r="AO479" s="192"/>
      <c r="AP479" s="192"/>
      <c r="AQ479" s="192"/>
      <c r="AR479" s="192"/>
      <c r="AS479" s="192"/>
      <c r="AT479" s="192"/>
      <c r="AU479" s="192"/>
      <c r="AV479" s="192"/>
      <c r="AW479" s="192"/>
      <c r="AX479" s="192"/>
      <c r="AY479" s="192"/>
      <c r="AZ479" s="192"/>
      <c r="BA479" s="192"/>
      <c r="BB479" s="192"/>
      <c r="BC479" s="192"/>
      <c r="BD479" s="214" cm="1">
        <f t="array" ref="BD479">INDEX(LoanOriginations,$A474)</f>
        <v>129.60901537300896</v>
      </c>
      <c r="BE479" s="199">
        <f t="shared" ref="BE479:BK479" si="5522">BD479*(1-MitigateDelinquency*MitigateChargeoff)  *  IF(BE474=0,0,IF(BE474-102=LoanSaleHeld,0.6,1))</f>
        <v>129.47940635763595</v>
      </c>
      <c r="BF479" s="199">
        <f t="shared" si="5522"/>
        <v>129.34992695127832</v>
      </c>
      <c r="BG479" s="199">
        <f t="shared" si="5522"/>
        <v>129.22057702432704</v>
      </c>
      <c r="BH479" s="199">
        <f t="shared" si="5522"/>
        <v>77.454813868381621</v>
      </c>
      <c r="BI479" s="199">
        <f t="shared" si="5522"/>
        <v>77.377359054513235</v>
      </c>
      <c r="BJ479" s="199">
        <f t="shared" si="5522"/>
        <v>77.299981695458726</v>
      </c>
      <c r="BK479" s="199">
        <f t="shared" si="5522"/>
        <v>77.222681713763265</v>
      </c>
    </row>
    <row r="480" spans="1:63" ht="7.8" x14ac:dyDescent="0.15">
      <c r="A480" s="207" t="s">
        <v>96</v>
      </c>
      <c r="B480" s="192"/>
      <c r="C480" s="192"/>
      <c r="D480" s="192"/>
      <c r="E480" s="192"/>
      <c r="F480" s="192"/>
      <c r="G480" s="192"/>
      <c r="H480" s="192"/>
      <c r="I480" s="192"/>
      <c r="J480" s="192"/>
      <c r="K480" s="192"/>
      <c r="L480" s="192"/>
      <c r="M480" s="192"/>
      <c r="N480" s="192"/>
      <c r="O480" s="192"/>
      <c r="P480" s="192"/>
      <c r="Q480" s="192"/>
      <c r="R480" s="192"/>
      <c r="S480" s="192"/>
      <c r="T480" s="192"/>
      <c r="U480" s="192"/>
      <c r="V480" s="192"/>
      <c r="W480" s="192"/>
      <c r="X480" s="192"/>
      <c r="Y480" s="192"/>
      <c r="Z480" s="192"/>
      <c r="AA480" s="192"/>
      <c r="AB480" s="192"/>
      <c r="AC480" s="192"/>
      <c r="AD480" s="192"/>
      <c r="AE480" s="192"/>
      <c r="AF480" s="192"/>
      <c r="AG480" s="192"/>
      <c r="AH480" s="192"/>
      <c r="AI480" s="192"/>
      <c r="AJ480" s="192"/>
      <c r="AK480" s="192"/>
      <c r="AL480" s="192"/>
      <c r="AM480" s="192"/>
      <c r="AN480" s="192"/>
      <c r="AO480" s="192"/>
      <c r="AP480" s="192"/>
      <c r="AQ480" s="192"/>
      <c r="AR480" s="192"/>
      <c r="AS480" s="192"/>
      <c r="AT480" s="192"/>
      <c r="AU480" s="192"/>
      <c r="AV480" s="192"/>
      <c r="AW480" s="192"/>
      <c r="AX480" s="192"/>
      <c r="AY480" s="192"/>
      <c r="AZ480" s="192"/>
      <c r="BA480" s="192"/>
      <c r="BB480" s="192"/>
      <c r="BC480" s="192"/>
      <c r="BD480" s="223">
        <f>BD477*BD479</f>
        <v>49.953474675013872</v>
      </c>
      <c r="BE480" s="200">
        <f t="shared" ref="BE480" si="5523">BE477*BE479</f>
        <v>47.488733969152911</v>
      </c>
      <c r="BF480" s="200">
        <f t="shared" ref="BF480" si="5524">BF477*BF479</f>
        <v>44.991682049384693</v>
      </c>
      <c r="BG480" s="200">
        <f t="shared" ref="BG480" si="5525">BG477*BG479</f>
        <v>42.461850409706763</v>
      </c>
      <c r="BH480" s="200">
        <f t="shared" ref="BH480" si="5526">BH477*BH479</f>
        <v>23.939258280137224</v>
      </c>
      <c r="BI480" s="200">
        <f t="shared" ref="BI480" si="5527">BI477*BI479</f>
        <v>22.381164078029155</v>
      </c>
      <c r="BJ480" s="200">
        <f t="shared" ref="BJ480" si="5528">BJ477*BJ479</f>
        <v>20.8025342212384</v>
      </c>
      <c r="BK480" s="200">
        <f t="shared" ref="BK480" si="5529">BK477*BK479</f>
        <v>19.203071067818499</v>
      </c>
    </row>
    <row r="481" spans="1:63" ht="7.8" x14ac:dyDescent="0.15">
      <c r="A481" s="206" t="s">
        <v>97</v>
      </c>
      <c r="B481" s="192"/>
      <c r="C481" s="192"/>
      <c r="D481" s="192"/>
      <c r="E481" s="192"/>
      <c r="F481" s="192"/>
      <c r="G481" s="192"/>
      <c r="H481" s="192"/>
      <c r="I481" s="192"/>
      <c r="J481" s="192"/>
      <c r="K481" s="192"/>
      <c r="L481" s="192"/>
      <c r="M481" s="192"/>
      <c r="N481" s="192"/>
      <c r="O481" s="192"/>
      <c r="P481" s="192"/>
      <c r="Q481" s="192"/>
      <c r="R481" s="192"/>
      <c r="S481" s="192"/>
      <c r="T481" s="192"/>
      <c r="U481" s="192"/>
      <c r="V481" s="192"/>
      <c r="W481" s="192"/>
      <c r="X481" s="192"/>
      <c r="Y481" s="192"/>
      <c r="Z481" s="192"/>
      <c r="AA481" s="192"/>
      <c r="AB481" s="192"/>
      <c r="AC481" s="192"/>
      <c r="AD481" s="192"/>
      <c r="AE481" s="192"/>
      <c r="AF481" s="192"/>
      <c r="AG481" s="192"/>
      <c r="AH481" s="192"/>
      <c r="AI481" s="192"/>
      <c r="AJ481" s="192"/>
      <c r="AK481" s="192"/>
      <c r="AL481" s="192"/>
      <c r="AM481" s="192"/>
      <c r="AN481" s="192"/>
      <c r="AO481" s="192"/>
      <c r="AP481" s="192"/>
      <c r="AQ481" s="192"/>
      <c r="AR481" s="192"/>
      <c r="AS481" s="192"/>
      <c r="AT481" s="192"/>
      <c r="AU481" s="192"/>
      <c r="AV481" s="192"/>
      <c r="AW481" s="192"/>
      <c r="AX481" s="192"/>
      <c r="AY481" s="192"/>
      <c r="AZ481" s="192"/>
      <c r="BA481" s="192"/>
      <c r="BB481" s="192"/>
      <c r="BC481" s="192"/>
      <c r="BD481" s="223">
        <f>BD478*BD479</f>
        <v>156.79163906734479</v>
      </c>
      <c r="BE481" s="200">
        <f>BE478*BE479</f>
        <v>159.04963465946341</v>
      </c>
      <c r="BF481" s="200">
        <f t="shared" ref="BF481:BK481" si="5530">BF478*BF479</f>
        <v>161.34014821060302</v>
      </c>
      <c r="BG481" s="200">
        <f t="shared" si="5530"/>
        <v>163.66364802002096</v>
      </c>
      <c r="BH481" s="200">
        <f t="shared" si="5530"/>
        <v>99.612365478641564</v>
      </c>
      <c r="BI481" s="200">
        <f t="shared" si="5530"/>
        <v>101.04690805699086</v>
      </c>
      <c r="BJ481" s="200">
        <f t="shared" si="5530"/>
        <v>102.50210984164659</v>
      </c>
      <c r="BK481" s="200">
        <f t="shared" si="5530"/>
        <v>103.97826835100359</v>
      </c>
    </row>
    <row r="482" spans="1:63" ht="7.8" x14ac:dyDescent="0.15">
      <c r="A482" s="208" t="s">
        <v>203</v>
      </c>
      <c r="B482" s="192"/>
      <c r="C482" s="192"/>
      <c r="D482" s="192"/>
      <c r="E482" s="192"/>
      <c r="F482" s="192"/>
      <c r="G482" s="192"/>
      <c r="H482" s="192"/>
      <c r="I482" s="192"/>
      <c r="J482" s="192"/>
      <c r="K482" s="192"/>
      <c r="L482" s="192"/>
      <c r="M482" s="192"/>
      <c r="N482" s="192"/>
      <c r="O482" s="192"/>
      <c r="P482" s="192"/>
      <c r="Q482" s="192"/>
      <c r="R482" s="192"/>
      <c r="S482" s="192"/>
      <c r="T482" s="192"/>
      <c r="U482" s="192"/>
      <c r="V482" s="192"/>
      <c r="W482" s="192"/>
      <c r="X482" s="192"/>
      <c r="Y482" s="192"/>
      <c r="Z482" s="192"/>
      <c r="AA482" s="192"/>
      <c r="AB482" s="192"/>
      <c r="AC482" s="192"/>
      <c r="AD482" s="192"/>
      <c r="AE482" s="192"/>
      <c r="AF482" s="192"/>
      <c r="AG482" s="192"/>
      <c r="AH482" s="192"/>
      <c r="AI482" s="192"/>
      <c r="AJ482" s="192"/>
      <c r="AK482" s="192"/>
      <c r="AL482" s="192"/>
      <c r="AM482" s="192"/>
      <c r="AN482" s="192"/>
      <c r="AO482" s="192"/>
      <c r="AP482" s="192"/>
      <c r="AQ482" s="192"/>
      <c r="AR482" s="192"/>
      <c r="AS482" s="192"/>
      <c r="AT482" s="192"/>
      <c r="AU482" s="192"/>
      <c r="AV482" s="192"/>
      <c r="AW482" s="192"/>
      <c r="AX482" s="192"/>
      <c r="AY482" s="192"/>
      <c r="AZ482" s="192"/>
      <c r="BA482" s="192"/>
      <c r="BB482" s="192"/>
      <c r="BC482" s="192"/>
      <c r="BD482" s="224">
        <f>IF(BD474-101&lt;&gt;LoanSaleHeld,0,SUM($D481:BD481)*LoanSalePercent)</f>
        <v>0</v>
      </c>
      <c r="BE482" s="225">
        <f>IF(BE474-101&lt;&gt;LoanSaleHeld,0,SUM($D481:BE481)*LoanSalePercent)</f>
        <v>0</v>
      </c>
      <c r="BF482" s="225">
        <f>IF(BF474-101&lt;&gt;LoanSaleHeld,0,SUM($D481:BF481)*LoanSalePercent)</f>
        <v>0</v>
      </c>
      <c r="BG482" s="225">
        <f>IF(BG474-101&lt;&gt;LoanSaleHeld,0,SUM($D481:BG481)*LoanSalePercent)</f>
        <v>256.33802798297285</v>
      </c>
      <c r="BH482" s="225">
        <f>IF(BH474-101&lt;&gt;LoanSaleHeld,0,SUM($D481:BH481)*LoanSalePercent)</f>
        <v>0</v>
      </c>
      <c r="BI482" s="225">
        <f>IF(BI474-101&lt;&gt;LoanSaleHeld,0,SUM($D481:BI481)*LoanSalePercent)</f>
        <v>0</v>
      </c>
      <c r="BJ482" s="225">
        <f>IF(BJ474-101&lt;&gt;LoanSaleHeld,0,SUM($D481:BJ481)*LoanSalePercent)</f>
        <v>0</v>
      </c>
      <c r="BK482" s="225">
        <f>IF(BK474-101&lt;&gt;LoanSaleHeld,0,SUM($D481:BK481)*LoanSalePercent)</f>
        <v>0</v>
      </c>
    </row>
    <row r="483" spans="1:63" ht="7.8" x14ac:dyDescent="0.15">
      <c r="A483" s="204">
        <f t="shared" ref="A483" si="5531">A474+1</f>
        <v>54</v>
      </c>
      <c r="B483" s="192"/>
      <c r="C483" s="192"/>
      <c r="D483" s="192"/>
      <c r="E483" s="192"/>
      <c r="F483" s="192"/>
      <c r="G483" s="192"/>
      <c r="H483" s="192"/>
      <c r="I483" s="192"/>
      <c r="J483" s="192"/>
      <c r="K483" s="192"/>
      <c r="L483" s="192"/>
      <c r="M483" s="192"/>
      <c r="N483" s="192"/>
      <c r="O483" s="192"/>
      <c r="P483" s="192"/>
      <c r="Q483" s="192"/>
      <c r="R483" s="192"/>
      <c r="S483" s="192"/>
      <c r="T483" s="192"/>
      <c r="U483" s="192"/>
      <c r="V483" s="192"/>
      <c r="W483" s="192"/>
      <c r="X483" s="192"/>
      <c r="Y483" s="192"/>
      <c r="Z483" s="192"/>
      <c r="AA483" s="192"/>
      <c r="AB483" s="192"/>
      <c r="AC483" s="192"/>
      <c r="AD483" s="192"/>
      <c r="AE483" s="192"/>
      <c r="AF483" s="192"/>
      <c r="AG483" s="192"/>
      <c r="AH483" s="192"/>
      <c r="AI483" s="192"/>
      <c r="AJ483" s="192"/>
      <c r="AK483" s="192"/>
      <c r="AL483" s="192"/>
      <c r="AM483" s="192"/>
      <c r="AN483" s="192"/>
      <c r="AO483" s="192"/>
      <c r="AP483" s="192"/>
      <c r="AQ483" s="192"/>
      <c r="AR483" s="192"/>
      <c r="AS483" s="192"/>
      <c r="AT483" s="192"/>
      <c r="AU483" s="192"/>
      <c r="AV483" s="192"/>
      <c r="AW483" s="192"/>
      <c r="AX483" s="192"/>
      <c r="AY483" s="192"/>
      <c r="AZ483" s="192"/>
      <c r="BA483" s="192"/>
      <c r="BB483" s="192"/>
      <c r="BC483" s="192"/>
      <c r="BD483" s="192"/>
      <c r="BE483" s="195">
        <v>101</v>
      </c>
      <c r="BF483" s="196">
        <f t="shared" ref="BF483" si="5532">IF(BF484=0,0,BE483+1)</f>
        <v>102</v>
      </c>
      <c r="BG483" s="196">
        <f t="shared" ref="BG483" si="5533">IF(BG484=0,0,BF483+1)</f>
        <v>103</v>
      </c>
      <c r="BH483" s="196">
        <f t="shared" ref="BH483" si="5534">IF(BH484=0,0,BG483+1)</f>
        <v>104</v>
      </c>
      <c r="BI483" s="196">
        <f t="shared" ref="BI483" si="5535">IF(BI484=0,0,BH483+1)</f>
        <v>105</v>
      </c>
      <c r="BJ483" s="196">
        <f t="shared" ref="BJ483" si="5536">IF(BJ484=0,0,BI483+1)</f>
        <v>106</v>
      </c>
      <c r="BK483" s="196">
        <f t="shared" ref="BK483" si="5537">IF(BK484=0,0,BJ483+1)</f>
        <v>107</v>
      </c>
    </row>
    <row r="484" spans="1:63" ht="7.8" x14ac:dyDescent="0.15">
      <c r="A484" s="216" t="s">
        <v>178</v>
      </c>
      <c r="B484" s="192"/>
      <c r="C484" s="192"/>
      <c r="D484" s="192"/>
      <c r="E484" s="192"/>
      <c r="F484" s="192"/>
      <c r="G484" s="192"/>
      <c r="H484" s="192"/>
      <c r="I484" s="192"/>
      <c r="J484" s="192"/>
      <c r="K484" s="192"/>
      <c r="L484" s="192"/>
      <c r="M484" s="192"/>
      <c r="N484" s="192"/>
      <c r="O484" s="192"/>
      <c r="P484" s="192"/>
      <c r="Q484" s="192"/>
      <c r="R484" s="192"/>
      <c r="S484" s="192"/>
      <c r="T484" s="192"/>
      <c r="U484" s="192"/>
      <c r="V484" s="192"/>
      <c r="W484" s="192"/>
      <c r="X484" s="192"/>
      <c r="Y484" s="192"/>
      <c r="Z484" s="192"/>
      <c r="AA484" s="192"/>
      <c r="AB484" s="192"/>
      <c r="AC484" s="192"/>
      <c r="AD484" s="192"/>
      <c r="AE484" s="192"/>
      <c r="AF484" s="192"/>
      <c r="AG484" s="192"/>
      <c r="AH484" s="192"/>
      <c r="AI484" s="192"/>
      <c r="AJ484" s="192"/>
      <c r="AK484" s="192"/>
      <c r="AL484" s="192"/>
      <c r="AM484" s="192"/>
      <c r="AN484" s="192"/>
      <c r="AO484" s="192"/>
      <c r="AP484" s="192"/>
      <c r="AQ484" s="192"/>
      <c r="AR484" s="192"/>
      <c r="AS484" s="192"/>
      <c r="AT484" s="192"/>
      <c r="AU484" s="192"/>
      <c r="AV484" s="192"/>
      <c r="AW484" s="192"/>
      <c r="AX484" s="192"/>
      <c r="AY484" s="192"/>
      <c r="AZ484" s="192"/>
      <c r="BA484" s="192"/>
      <c r="BB484" s="192"/>
      <c r="BC484" s="192"/>
      <c r="BD484" s="192"/>
      <c r="BE484" s="217">
        <f>LoanSize</f>
        <v>25</v>
      </c>
      <c r="BF484" s="215">
        <f>IF(BE484-BE487&lt;=0.1,0,BE484-BE487)</f>
        <v>23.79027212253634</v>
      </c>
      <c r="BG484" s="215">
        <f t="shared" ref="BG484:BK484" si="5538">IF(BF484-BF487&lt;=0.1,0,BF484-BF487)</f>
        <v>22.56189427362845</v>
      </c>
      <c r="BH484" s="215">
        <f t="shared" si="5538"/>
        <v>21.314578932883229</v>
      </c>
      <c r="BI484" s="215">
        <f t="shared" si="5538"/>
        <v>20.048034147301522</v>
      </c>
      <c r="BJ484" s="215">
        <f t="shared" si="5538"/>
        <v>18.761963462942095</v>
      </c>
      <c r="BK484" s="215">
        <f t="shared" si="5538"/>
        <v>17.456065855532128</v>
      </c>
    </row>
    <row r="485" spans="1:63" ht="7.8" x14ac:dyDescent="0.15">
      <c r="A485" s="218" t="s">
        <v>179</v>
      </c>
      <c r="B485" s="192"/>
      <c r="C485" s="192"/>
      <c r="D485" s="192"/>
      <c r="E485" s="192"/>
      <c r="F485" s="192"/>
      <c r="G485" s="192"/>
      <c r="H485" s="192"/>
      <c r="I485" s="192"/>
      <c r="J485" s="192"/>
      <c r="K485" s="192"/>
      <c r="L485" s="192"/>
      <c r="M485" s="192"/>
      <c r="N485" s="192"/>
      <c r="O485" s="192"/>
      <c r="P485" s="192"/>
      <c r="Q485" s="192"/>
      <c r="R485" s="192"/>
      <c r="S485" s="192"/>
      <c r="T485" s="192"/>
      <c r="U485" s="192"/>
      <c r="V485" s="192"/>
      <c r="W485" s="192"/>
      <c r="X485" s="192"/>
      <c r="Y485" s="192"/>
      <c r="Z485" s="192"/>
      <c r="AA485" s="192"/>
      <c r="AB485" s="192"/>
      <c r="AC485" s="192"/>
      <c r="AD485" s="192"/>
      <c r="AE485" s="192"/>
      <c r="AF485" s="192"/>
      <c r="AG485" s="192"/>
      <c r="AH485" s="192"/>
      <c r="AI485" s="192"/>
      <c r="AJ485" s="192"/>
      <c r="AK485" s="192"/>
      <c r="AL485" s="192"/>
      <c r="AM485" s="192"/>
      <c r="AN485" s="192"/>
      <c r="AO485" s="192"/>
      <c r="AP485" s="192"/>
      <c r="AQ485" s="192"/>
      <c r="AR485" s="192"/>
      <c r="AS485" s="192"/>
      <c r="AT485" s="192"/>
      <c r="AU485" s="192"/>
      <c r="AV485" s="192"/>
      <c r="AW485" s="192"/>
      <c r="AX485" s="192"/>
      <c r="AY485" s="192"/>
      <c r="AZ485" s="192"/>
      <c r="BA485" s="192"/>
      <c r="BB485" s="192"/>
      <c r="BC485" s="192"/>
      <c r="BD485" s="192"/>
      <c r="BE485" s="219">
        <f>IF(BE484=0,0,PMT(INDEX(LoanCohortRate,1),LoanTerm, -LoanSize))</f>
        <v>1.5951445441303251</v>
      </c>
      <c r="BF485" s="222">
        <f t="shared" ref="BF485" si="5539">IF(BF484=0,0, BE485)</f>
        <v>1.5951445441303251</v>
      </c>
      <c r="BG485" s="222">
        <f t="shared" ref="BG485" si="5540">IF(BG484=0,0, BF485)</f>
        <v>1.5951445441303251</v>
      </c>
      <c r="BH485" s="222">
        <f t="shared" ref="BH485" si="5541">IF(BH484=0,0, BG485)</f>
        <v>1.5951445441303251</v>
      </c>
      <c r="BI485" s="222">
        <f t="shared" ref="BI485" si="5542">IF(BI484=0,0, BH485)</f>
        <v>1.5951445441303251</v>
      </c>
      <c r="BJ485" s="222">
        <f t="shared" ref="BJ485" si="5543">IF(BJ484=0,0, BI485)</f>
        <v>1.5951445441303251</v>
      </c>
      <c r="BK485" s="222">
        <f t="shared" ref="BK485" si="5544">IF(BK484=0,0, BJ485)</f>
        <v>1.5951445441303251</v>
      </c>
    </row>
    <row r="486" spans="1:63" ht="7.8" x14ac:dyDescent="0.15">
      <c r="A486" s="218" t="s">
        <v>180</v>
      </c>
      <c r="B486" s="192"/>
      <c r="C486" s="192"/>
      <c r="D486" s="192"/>
      <c r="E486" s="192"/>
      <c r="F486" s="192"/>
      <c r="G486" s="192"/>
      <c r="H486" s="192"/>
      <c r="I486" s="192"/>
      <c r="J486" s="192"/>
      <c r="K486" s="192"/>
      <c r="L486" s="192"/>
      <c r="M486" s="192"/>
      <c r="N486" s="192"/>
      <c r="O486" s="192"/>
      <c r="P486" s="192"/>
      <c r="Q486" s="192"/>
      <c r="R486" s="192"/>
      <c r="S486" s="192"/>
      <c r="T486" s="192"/>
      <c r="U486" s="192"/>
      <c r="V486" s="192"/>
      <c r="W486" s="192"/>
      <c r="X486" s="192"/>
      <c r="Y486" s="192"/>
      <c r="Z486" s="192"/>
      <c r="AA486" s="192"/>
      <c r="AB486" s="192"/>
      <c r="AC486" s="192"/>
      <c r="AD486" s="192"/>
      <c r="AE486" s="192"/>
      <c r="AF486" s="192"/>
      <c r="AG486" s="192"/>
      <c r="AH486" s="192"/>
      <c r="AI486" s="192"/>
      <c r="AJ486" s="192"/>
      <c r="AK486" s="192"/>
      <c r="AL486" s="192"/>
      <c r="AM486" s="192"/>
      <c r="AN486" s="192"/>
      <c r="AO486" s="192"/>
      <c r="AP486" s="192"/>
      <c r="AQ486" s="192"/>
      <c r="AR486" s="192"/>
      <c r="AS486" s="192"/>
      <c r="AT486" s="192"/>
      <c r="AU486" s="192"/>
      <c r="AV486" s="192"/>
      <c r="AW486" s="192"/>
      <c r="AX486" s="192"/>
      <c r="AY486" s="192"/>
      <c r="AZ486" s="192"/>
      <c r="BA486" s="192"/>
      <c r="BB486" s="192"/>
      <c r="BC486" s="192"/>
      <c r="BD486" s="192"/>
      <c r="BE486" s="220" cm="1">
        <f t="array" ref="BE486">BE484*INDEX(LoanCohortRate,$A483)</f>
        <v>0.38541666666666669</v>
      </c>
      <c r="BF486" s="221" cm="1">
        <f t="array" ref="BF486">BF484*INDEX(LoanCohortRate,$A483)</f>
        <v>0.36676669522243527</v>
      </c>
      <c r="BG486" s="221" cm="1">
        <f t="array" ref="BG486">BG484*INDEX(LoanCohortRate,$A483)</f>
        <v>0.34782920338510526</v>
      </c>
      <c r="BH486" s="221" cm="1">
        <f t="array" ref="BH486">BH484*INDEX(LoanCohortRate,$A483)</f>
        <v>0.32859975854861645</v>
      </c>
      <c r="BI486" s="221" cm="1">
        <f t="array" ref="BI486">BI484*INDEX(LoanCohortRate,$A483)</f>
        <v>0.30907385977089846</v>
      </c>
      <c r="BJ486" s="221" cm="1">
        <f t="array" ref="BJ486">BJ484*INDEX(LoanCohortRate,$A483)</f>
        <v>0.28924693672035728</v>
      </c>
      <c r="BK486" s="221" cm="1">
        <f t="array" ref="BK486">BK484*INDEX(LoanCohortRate,$A483)</f>
        <v>0.26911434860612032</v>
      </c>
    </row>
    <row r="487" spans="1:63" ht="7.8" x14ac:dyDescent="0.15">
      <c r="A487" s="218" t="s">
        <v>177</v>
      </c>
      <c r="B487" s="192"/>
      <c r="C487" s="192"/>
      <c r="D487" s="192"/>
      <c r="E487" s="192"/>
      <c r="F487" s="192"/>
      <c r="G487" s="192"/>
      <c r="H487" s="192"/>
      <c r="I487" s="192"/>
      <c r="J487" s="192"/>
      <c r="K487" s="192"/>
      <c r="L487" s="192"/>
      <c r="M487" s="192"/>
      <c r="N487" s="192"/>
      <c r="O487" s="192"/>
      <c r="P487" s="192"/>
      <c r="Q487" s="192"/>
      <c r="R487" s="192"/>
      <c r="S487" s="192"/>
      <c r="T487" s="192"/>
      <c r="U487" s="192"/>
      <c r="V487" s="192"/>
      <c r="W487" s="192"/>
      <c r="X487" s="192"/>
      <c r="Y487" s="192"/>
      <c r="Z487" s="192"/>
      <c r="AA487" s="192"/>
      <c r="AB487" s="192"/>
      <c r="AC487" s="192"/>
      <c r="AD487" s="192"/>
      <c r="AE487" s="192"/>
      <c r="AF487" s="192"/>
      <c r="AG487" s="192"/>
      <c r="AH487" s="192"/>
      <c r="AI487" s="192"/>
      <c r="AJ487" s="192"/>
      <c r="AK487" s="192"/>
      <c r="AL487" s="192"/>
      <c r="AM487" s="192"/>
      <c r="AN487" s="192"/>
      <c r="AO487" s="192"/>
      <c r="AP487" s="192"/>
      <c r="AQ487" s="192"/>
      <c r="AR487" s="192"/>
      <c r="AS487" s="192"/>
      <c r="AT487" s="192"/>
      <c r="AU487" s="192"/>
      <c r="AV487" s="192"/>
      <c r="AW487" s="192"/>
      <c r="AX487" s="192"/>
      <c r="AY487" s="192"/>
      <c r="AZ487" s="192"/>
      <c r="BA487" s="192"/>
      <c r="BB487" s="192"/>
      <c r="BC487" s="192"/>
      <c r="BD487" s="192"/>
      <c r="BE487" s="219">
        <f>BE485-BE486</f>
        <v>1.2097278774636584</v>
      </c>
      <c r="BF487" s="222">
        <f t="shared" ref="BF487:BK487" si="5545">BF485-BF486</f>
        <v>1.2283778489078898</v>
      </c>
      <c r="BG487" s="222">
        <f t="shared" si="5545"/>
        <v>1.24731534074522</v>
      </c>
      <c r="BH487" s="222">
        <f t="shared" si="5545"/>
        <v>1.2665447855817087</v>
      </c>
      <c r="BI487" s="222">
        <f t="shared" si="5545"/>
        <v>1.2860706843594267</v>
      </c>
      <c r="BJ487" s="222">
        <f t="shared" si="5545"/>
        <v>1.305897607409968</v>
      </c>
      <c r="BK487" s="222">
        <f t="shared" si="5545"/>
        <v>1.3260301955242049</v>
      </c>
    </row>
    <row r="488" spans="1:63" ht="7.8" x14ac:dyDescent="0.15">
      <c r="A488" s="205" t="s">
        <v>7</v>
      </c>
      <c r="B488" s="192"/>
      <c r="C488" s="192"/>
      <c r="D488" s="192"/>
      <c r="E488" s="192"/>
      <c r="F488" s="192"/>
      <c r="G488" s="192"/>
      <c r="H488" s="192"/>
      <c r="I488" s="192"/>
      <c r="J488" s="192"/>
      <c r="K488" s="192"/>
      <c r="L488" s="192"/>
      <c r="M488" s="192"/>
      <c r="N488" s="192"/>
      <c r="O488" s="192"/>
      <c r="P488" s="192"/>
      <c r="Q488" s="192"/>
      <c r="R488" s="192"/>
      <c r="S488" s="192"/>
      <c r="T488" s="192"/>
      <c r="U488" s="192"/>
      <c r="V488" s="192"/>
      <c r="W488" s="192"/>
      <c r="X488" s="192"/>
      <c r="Y488" s="192"/>
      <c r="Z488" s="192"/>
      <c r="AA488" s="192"/>
      <c r="AB488" s="192"/>
      <c r="AC488" s="192"/>
      <c r="AD488" s="192"/>
      <c r="AE488" s="192"/>
      <c r="AF488" s="192"/>
      <c r="AG488" s="192"/>
      <c r="AH488" s="192"/>
      <c r="AI488" s="192"/>
      <c r="AJ488" s="192"/>
      <c r="AK488" s="192"/>
      <c r="AL488" s="192"/>
      <c r="AM488" s="192"/>
      <c r="AN488" s="192"/>
      <c r="AO488" s="192"/>
      <c r="AP488" s="192"/>
      <c r="AQ488" s="192"/>
      <c r="AR488" s="192"/>
      <c r="AS488" s="192"/>
      <c r="AT488" s="192"/>
      <c r="AU488" s="192"/>
      <c r="AV488" s="192"/>
      <c r="AW488" s="192"/>
      <c r="AX488" s="192"/>
      <c r="AY488" s="192"/>
      <c r="AZ488" s="192"/>
      <c r="BA488" s="192"/>
      <c r="BB488" s="192"/>
      <c r="BC488" s="192"/>
      <c r="BD488" s="192"/>
      <c r="BE488" s="214" cm="1">
        <f t="array" ref="BE488">INDEX(LoanOriginations,$A483)</f>
        <v>130.25706044987399</v>
      </c>
      <c r="BF488" s="199">
        <f t="shared" ref="BF488:BK488" si="5546">BE488*(1-MitigateDelinquency*MitigateChargeoff)  *  IF(BF483=0,0,IF(BF483-102=LoanSaleHeld,0.6,1))</f>
        <v>130.12680338942411</v>
      </c>
      <c r="BG488" s="199">
        <f t="shared" si="5546"/>
        <v>129.99667658603468</v>
      </c>
      <c r="BH488" s="199">
        <f t="shared" si="5546"/>
        <v>129.86667990944864</v>
      </c>
      <c r="BI488" s="199">
        <f t="shared" si="5546"/>
        <v>77.84208793772352</v>
      </c>
      <c r="BJ488" s="199">
        <f t="shared" si="5546"/>
        <v>77.764245849785794</v>
      </c>
      <c r="BK488" s="199">
        <f t="shared" si="5546"/>
        <v>77.686481603936002</v>
      </c>
    </row>
    <row r="489" spans="1:63" ht="7.8" x14ac:dyDescent="0.15">
      <c r="A489" s="207" t="s">
        <v>96</v>
      </c>
      <c r="B489" s="192"/>
      <c r="C489" s="192"/>
      <c r="D489" s="192"/>
      <c r="E489" s="192"/>
      <c r="F489" s="192"/>
      <c r="G489" s="192"/>
      <c r="H489" s="192"/>
      <c r="I489" s="192"/>
      <c r="J489" s="192"/>
      <c r="K489" s="192"/>
      <c r="L489" s="192"/>
      <c r="M489" s="192"/>
      <c r="N489" s="192"/>
      <c r="O489" s="192"/>
      <c r="P489" s="192"/>
      <c r="Q489" s="192"/>
      <c r="R489" s="192"/>
      <c r="S489" s="192"/>
      <c r="T489" s="192"/>
      <c r="U489" s="192"/>
      <c r="V489" s="192"/>
      <c r="W489" s="192"/>
      <c r="X489" s="192"/>
      <c r="Y489" s="192"/>
      <c r="Z489" s="192"/>
      <c r="AA489" s="192"/>
      <c r="AB489" s="192"/>
      <c r="AC489" s="192"/>
      <c r="AD489" s="192"/>
      <c r="AE489" s="192"/>
      <c r="AF489" s="192"/>
      <c r="AG489" s="192"/>
      <c r="AH489" s="192"/>
      <c r="AI489" s="192"/>
      <c r="AJ489" s="192"/>
      <c r="AK489" s="192"/>
      <c r="AL489" s="192"/>
      <c r="AM489" s="192"/>
      <c r="AN489" s="192"/>
      <c r="AO489" s="192"/>
      <c r="AP489" s="192"/>
      <c r="AQ489" s="192"/>
      <c r="AR489" s="192"/>
      <c r="AS489" s="192"/>
      <c r="AT489" s="192"/>
      <c r="AU489" s="192"/>
      <c r="AV489" s="192"/>
      <c r="AW489" s="192"/>
      <c r="AX489" s="192"/>
      <c r="AY489" s="192"/>
      <c r="AZ489" s="192"/>
      <c r="BA489" s="192"/>
      <c r="BB489" s="192"/>
      <c r="BC489" s="192"/>
      <c r="BD489" s="192"/>
      <c r="BE489" s="223">
        <f>BE486*BE488</f>
        <v>50.203242048388937</v>
      </c>
      <c r="BF489" s="200">
        <f t="shared" ref="BF489" si="5547">BF486*BF488</f>
        <v>47.726177638998671</v>
      </c>
      <c r="BG489" s="200">
        <f t="shared" ref="BG489" si="5548">BG486*BG488</f>
        <v>45.216640459631606</v>
      </c>
      <c r="BH489" s="200">
        <f t="shared" ref="BH489" si="5549">BH486*BH488</f>
        <v>42.674159661755283</v>
      </c>
      <c r="BI489" s="200">
        <f t="shared" ref="BI489" si="5550">BI486*BI488</f>
        <v>24.058954571537907</v>
      </c>
      <c r="BJ489" s="200">
        <f t="shared" ref="BJ489" si="5551">BJ486*BJ488</f>
        <v>22.493069898419296</v>
      </c>
      <c r="BK489" s="200">
        <f t="shared" ref="BK489" si="5552">BK486*BK488</f>
        <v>20.906546892344586</v>
      </c>
    </row>
    <row r="490" spans="1:63" ht="7.8" x14ac:dyDescent="0.15">
      <c r="A490" s="206" t="s">
        <v>97</v>
      </c>
      <c r="B490" s="192"/>
      <c r="C490" s="192"/>
      <c r="D490" s="192"/>
      <c r="E490" s="192"/>
      <c r="F490" s="192"/>
      <c r="G490" s="192"/>
      <c r="H490" s="192"/>
      <c r="I490" s="192"/>
      <c r="J490" s="192"/>
      <c r="K490" s="192"/>
      <c r="L490" s="192"/>
      <c r="M490" s="192"/>
      <c r="N490" s="192"/>
      <c r="O490" s="192"/>
      <c r="P490" s="192"/>
      <c r="Q490" s="192"/>
      <c r="R490" s="192"/>
      <c r="S490" s="192"/>
      <c r="T490" s="192"/>
      <c r="U490" s="192"/>
      <c r="V490" s="192"/>
      <c r="W490" s="192"/>
      <c r="X490" s="192"/>
      <c r="Y490" s="192"/>
      <c r="Z490" s="192"/>
      <c r="AA490" s="192"/>
      <c r="AB490" s="192"/>
      <c r="AC490" s="192"/>
      <c r="AD490" s="192"/>
      <c r="AE490" s="192"/>
      <c r="AF490" s="192"/>
      <c r="AG490" s="192"/>
      <c r="AH490" s="192"/>
      <c r="AI490" s="192"/>
      <c r="AJ490" s="192"/>
      <c r="AK490" s="192"/>
      <c r="AL490" s="192"/>
      <c r="AM490" s="192"/>
      <c r="AN490" s="192"/>
      <c r="AO490" s="192"/>
      <c r="AP490" s="192"/>
      <c r="AQ490" s="192"/>
      <c r="AR490" s="192"/>
      <c r="AS490" s="192"/>
      <c r="AT490" s="192"/>
      <c r="AU490" s="192"/>
      <c r="AV490" s="192"/>
      <c r="AW490" s="192"/>
      <c r="AX490" s="192"/>
      <c r="AY490" s="192"/>
      <c r="AZ490" s="192"/>
      <c r="BA490" s="192"/>
      <c r="BB490" s="192"/>
      <c r="BC490" s="192"/>
      <c r="BD490" s="192"/>
      <c r="BE490" s="223">
        <f>BE487*BE488</f>
        <v>157.5755972626815</v>
      </c>
      <c r="BF490" s="200">
        <f>BF487*BF488</f>
        <v>159.8448828327607</v>
      </c>
      <c r="BG490" s="200">
        <f t="shared" ref="BG490:BK490" si="5553">BG487*BG488</f>
        <v>162.14684895165601</v>
      </c>
      <c r="BH490" s="200">
        <f t="shared" si="5553"/>
        <v>164.48196626012103</v>
      </c>
      <c r="BI490" s="200">
        <f t="shared" si="5553"/>
        <v>100.11042730603477</v>
      </c>
      <c r="BJ490" s="200">
        <f t="shared" si="5553"/>
        <v>101.5521425972758</v>
      </c>
      <c r="BK490" s="200">
        <f t="shared" si="5553"/>
        <v>103.0146203908548</v>
      </c>
    </row>
    <row r="491" spans="1:63" ht="7.8" x14ac:dyDescent="0.15">
      <c r="A491" s="208" t="s">
        <v>203</v>
      </c>
      <c r="B491" s="192"/>
      <c r="C491" s="192"/>
      <c r="D491" s="192"/>
      <c r="E491" s="192"/>
      <c r="F491" s="192"/>
      <c r="G491" s="192"/>
      <c r="H491" s="192"/>
      <c r="I491" s="192"/>
      <c r="J491" s="192"/>
      <c r="K491" s="192"/>
      <c r="L491" s="192"/>
      <c r="M491" s="192"/>
      <c r="N491" s="192"/>
      <c r="O491" s="192"/>
      <c r="P491" s="192"/>
      <c r="Q491" s="192"/>
      <c r="R491" s="192"/>
      <c r="S491" s="192"/>
      <c r="T491" s="192"/>
      <c r="U491" s="192"/>
      <c r="V491" s="192"/>
      <c r="W491" s="192"/>
      <c r="X491" s="192"/>
      <c r="Y491" s="192"/>
      <c r="Z491" s="192"/>
      <c r="AA491" s="192"/>
      <c r="AB491" s="192"/>
      <c r="AC491" s="192"/>
      <c r="AD491" s="192"/>
      <c r="AE491" s="192"/>
      <c r="AF491" s="192"/>
      <c r="AG491" s="192"/>
      <c r="AH491" s="192"/>
      <c r="AI491" s="192"/>
      <c r="AJ491" s="192"/>
      <c r="AK491" s="192"/>
      <c r="AL491" s="192"/>
      <c r="AM491" s="192"/>
      <c r="AN491" s="192"/>
      <c r="AO491" s="192"/>
      <c r="AP491" s="192"/>
      <c r="AQ491" s="192"/>
      <c r="AR491" s="192"/>
      <c r="AS491" s="192"/>
      <c r="AT491" s="192"/>
      <c r="AU491" s="192"/>
      <c r="AV491" s="192"/>
      <c r="AW491" s="192"/>
      <c r="AX491" s="192"/>
      <c r="AY491" s="192"/>
      <c r="AZ491" s="192"/>
      <c r="BA491" s="192"/>
      <c r="BB491" s="192"/>
      <c r="BC491" s="192"/>
      <c r="BD491" s="192"/>
      <c r="BE491" s="224">
        <f>IF(BE483-101&lt;&gt;LoanSaleHeld,0,SUM($D490:BE490)*LoanSalePercent)</f>
        <v>0</v>
      </c>
      <c r="BF491" s="225">
        <f>IF(BF483-101&lt;&gt;LoanSaleHeld,0,SUM($D490:BF490)*LoanSalePercent)</f>
        <v>0</v>
      </c>
      <c r="BG491" s="225">
        <f>IF(BG483-101&lt;&gt;LoanSaleHeld,0,SUM($D490:BG490)*LoanSalePercent)</f>
        <v>0</v>
      </c>
      <c r="BH491" s="225">
        <f>IF(BH483-101&lt;&gt;LoanSaleHeld,0,SUM($D490:BH490)*LoanSalePercent)</f>
        <v>257.61971812288772</v>
      </c>
      <c r="BI491" s="225">
        <f>IF(BI483-101&lt;&gt;LoanSaleHeld,0,SUM($D490:BI490)*LoanSalePercent)</f>
        <v>0</v>
      </c>
      <c r="BJ491" s="225">
        <f>IF(BJ483-101&lt;&gt;LoanSaleHeld,0,SUM($D490:BJ490)*LoanSalePercent)</f>
        <v>0</v>
      </c>
      <c r="BK491" s="225">
        <f>IF(BK483-101&lt;&gt;LoanSaleHeld,0,SUM($D490:BK490)*LoanSalePercent)</f>
        <v>0</v>
      </c>
    </row>
    <row r="492" spans="1:63" ht="7.8" x14ac:dyDescent="0.15">
      <c r="A492" s="204">
        <f t="shared" ref="A492" si="5554">A483+1</f>
        <v>55</v>
      </c>
      <c r="B492" s="192"/>
      <c r="C492" s="192"/>
      <c r="D492" s="192"/>
      <c r="E492" s="192"/>
      <c r="F492" s="192"/>
      <c r="G492" s="192"/>
      <c r="H492" s="192"/>
      <c r="I492" s="192"/>
      <c r="J492" s="192"/>
      <c r="K492" s="192"/>
      <c r="L492" s="192"/>
      <c r="M492" s="192"/>
      <c r="N492" s="192"/>
      <c r="O492" s="192"/>
      <c r="P492" s="192"/>
      <c r="Q492" s="192"/>
      <c r="R492" s="192"/>
      <c r="S492" s="192"/>
      <c r="T492" s="192"/>
      <c r="U492" s="192"/>
      <c r="V492" s="192"/>
      <c r="W492" s="192"/>
      <c r="X492" s="192"/>
      <c r="Y492" s="192"/>
      <c r="Z492" s="192"/>
      <c r="AA492" s="192"/>
      <c r="AB492" s="192"/>
      <c r="AC492" s="192"/>
      <c r="AD492" s="192"/>
      <c r="AE492" s="192"/>
      <c r="AF492" s="192"/>
      <c r="AG492" s="192"/>
      <c r="AH492" s="192"/>
      <c r="AI492" s="192"/>
      <c r="AJ492" s="192"/>
      <c r="AK492" s="192"/>
      <c r="AL492" s="192"/>
      <c r="AM492" s="192"/>
      <c r="AN492" s="192"/>
      <c r="AO492" s="192"/>
      <c r="AP492" s="192"/>
      <c r="AQ492" s="192"/>
      <c r="AR492" s="192"/>
      <c r="AS492" s="192"/>
      <c r="AT492" s="192"/>
      <c r="AU492" s="192"/>
      <c r="AV492" s="192"/>
      <c r="AW492" s="192"/>
      <c r="AX492" s="192"/>
      <c r="AY492" s="192"/>
      <c r="AZ492" s="192"/>
      <c r="BA492" s="192"/>
      <c r="BB492" s="192"/>
      <c r="BC492" s="192"/>
      <c r="BD492" s="192"/>
      <c r="BE492" s="192"/>
      <c r="BF492" s="195">
        <v>101</v>
      </c>
      <c r="BG492" s="196">
        <f t="shared" ref="BG492" si="5555">IF(BG493=0,0,BF492+1)</f>
        <v>102</v>
      </c>
      <c r="BH492" s="196">
        <f t="shared" ref="BH492" si="5556">IF(BH493=0,0,BG492+1)</f>
        <v>103</v>
      </c>
      <c r="BI492" s="196">
        <f t="shared" ref="BI492" si="5557">IF(BI493=0,0,BH492+1)</f>
        <v>104</v>
      </c>
      <c r="BJ492" s="196">
        <f t="shared" ref="BJ492" si="5558">IF(BJ493=0,0,BI492+1)</f>
        <v>105</v>
      </c>
      <c r="BK492" s="196">
        <f t="shared" ref="BK492" si="5559">IF(BK493=0,0,BJ492+1)</f>
        <v>106</v>
      </c>
    </row>
    <row r="493" spans="1:63" ht="7.8" x14ac:dyDescent="0.15">
      <c r="A493" s="216" t="s">
        <v>178</v>
      </c>
      <c r="B493" s="192"/>
      <c r="C493" s="192"/>
      <c r="D493" s="192"/>
      <c r="E493" s="192"/>
      <c r="F493" s="192"/>
      <c r="G493" s="192"/>
      <c r="H493" s="192"/>
      <c r="I493" s="192"/>
      <c r="J493" s="192"/>
      <c r="K493" s="192"/>
      <c r="L493" s="192"/>
      <c r="M493" s="192"/>
      <c r="N493" s="192"/>
      <c r="O493" s="192"/>
      <c r="P493" s="192"/>
      <c r="Q493" s="192"/>
      <c r="R493" s="192"/>
      <c r="S493" s="192"/>
      <c r="T493" s="192"/>
      <c r="U493" s="192"/>
      <c r="V493" s="192"/>
      <c r="W493" s="192"/>
      <c r="X493" s="192"/>
      <c r="Y493" s="192"/>
      <c r="Z493" s="192"/>
      <c r="AA493" s="192"/>
      <c r="AB493" s="192"/>
      <c r="AC493" s="192"/>
      <c r="AD493" s="192"/>
      <c r="AE493" s="192"/>
      <c r="AF493" s="192"/>
      <c r="AG493" s="192"/>
      <c r="AH493" s="192"/>
      <c r="AI493" s="192"/>
      <c r="AJ493" s="192"/>
      <c r="AK493" s="192"/>
      <c r="AL493" s="192"/>
      <c r="AM493" s="192"/>
      <c r="AN493" s="192"/>
      <c r="AO493" s="192"/>
      <c r="AP493" s="192"/>
      <c r="AQ493" s="192"/>
      <c r="AR493" s="192"/>
      <c r="AS493" s="192"/>
      <c r="AT493" s="192"/>
      <c r="AU493" s="192"/>
      <c r="AV493" s="192"/>
      <c r="AW493" s="192"/>
      <c r="AX493" s="192"/>
      <c r="AY493" s="192"/>
      <c r="AZ493" s="192"/>
      <c r="BA493" s="192"/>
      <c r="BB493" s="192"/>
      <c r="BC493" s="192"/>
      <c r="BD493" s="192"/>
      <c r="BE493" s="192"/>
      <c r="BF493" s="217">
        <f>LoanSize</f>
        <v>25</v>
      </c>
      <c r="BG493" s="215">
        <f>IF(BF493-BF496&lt;=0.1,0,BF493-BF496)</f>
        <v>23.79027212253634</v>
      </c>
      <c r="BH493" s="215">
        <f t="shared" ref="BH493:BK493" si="5560">IF(BG493-BG496&lt;=0.1,0,BG493-BG496)</f>
        <v>22.56189427362845</v>
      </c>
      <c r="BI493" s="215">
        <f t="shared" si="5560"/>
        <v>21.314578932883229</v>
      </c>
      <c r="BJ493" s="215">
        <f t="shared" si="5560"/>
        <v>20.048034147301522</v>
      </c>
      <c r="BK493" s="215">
        <f t="shared" si="5560"/>
        <v>18.761963462942095</v>
      </c>
    </row>
    <row r="494" spans="1:63" ht="7.8" x14ac:dyDescent="0.15">
      <c r="A494" s="218" t="s">
        <v>179</v>
      </c>
      <c r="B494" s="192"/>
      <c r="C494" s="192"/>
      <c r="D494" s="192"/>
      <c r="E494" s="192"/>
      <c r="F494" s="192"/>
      <c r="G494" s="192"/>
      <c r="H494" s="192"/>
      <c r="I494" s="192"/>
      <c r="J494" s="192"/>
      <c r="K494" s="192"/>
      <c r="L494" s="192"/>
      <c r="M494" s="192"/>
      <c r="N494" s="192"/>
      <c r="O494" s="192"/>
      <c r="P494" s="192"/>
      <c r="Q494" s="192"/>
      <c r="R494" s="192"/>
      <c r="S494" s="192"/>
      <c r="T494" s="192"/>
      <c r="U494" s="192"/>
      <c r="V494" s="192"/>
      <c r="W494" s="192"/>
      <c r="X494" s="192"/>
      <c r="Y494" s="192"/>
      <c r="Z494" s="192"/>
      <c r="AA494" s="192"/>
      <c r="AB494" s="192"/>
      <c r="AC494" s="192"/>
      <c r="AD494" s="192"/>
      <c r="AE494" s="192"/>
      <c r="AF494" s="192"/>
      <c r="AG494" s="192"/>
      <c r="AH494" s="192"/>
      <c r="AI494" s="192"/>
      <c r="AJ494" s="192"/>
      <c r="AK494" s="192"/>
      <c r="AL494" s="192"/>
      <c r="AM494" s="192"/>
      <c r="AN494" s="192"/>
      <c r="AO494" s="192"/>
      <c r="AP494" s="192"/>
      <c r="AQ494" s="192"/>
      <c r="AR494" s="192"/>
      <c r="AS494" s="192"/>
      <c r="AT494" s="192"/>
      <c r="AU494" s="192"/>
      <c r="AV494" s="192"/>
      <c r="AW494" s="192"/>
      <c r="AX494" s="192"/>
      <c r="AY494" s="192"/>
      <c r="AZ494" s="192"/>
      <c r="BA494" s="192"/>
      <c r="BB494" s="192"/>
      <c r="BC494" s="192"/>
      <c r="BD494" s="192"/>
      <c r="BE494" s="192"/>
      <c r="BF494" s="219">
        <f>IF(BF493=0,0,PMT(INDEX(LoanCohortRate,1),LoanTerm, -LoanSize))</f>
        <v>1.5951445441303251</v>
      </c>
      <c r="BG494" s="222">
        <f t="shared" ref="BG494" si="5561">IF(BG493=0,0, BF494)</f>
        <v>1.5951445441303251</v>
      </c>
      <c r="BH494" s="222">
        <f t="shared" ref="BH494" si="5562">IF(BH493=0,0, BG494)</f>
        <v>1.5951445441303251</v>
      </c>
      <c r="BI494" s="222">
        <f t="shared" ref="BI494" si="5563">IF(BI493=0,0, BH494)</f>
        <v>1.5951445441303251</v>
      </c>
      <c r="BJ494" s="222">
        <f t="shared" ref="BJ494" si="5564">IF(BJ493=0,0, BI494)</f>
        <v>1.5951445441303251</v>
      </c>
      <c r="BK494" s="222">
        <f t="shared" ref="BK494" si="5565">IF(BK493=0,0, BJ494)</f>
        <v>1.5951445441303251</v>
      </c>
    </row>
    <row r="495" spans="1:63" ht="7.8" x14ac:dyDescent="0.15">
      <c r="A495" s="218" t="s">
        <v>180</v>
      </c>
      <c r="B495" s="192"/>
      <c r="C495" s="192"/>
      <c r="D495" s="192"/>
      <c r="E495" s="192"/>
      <c r="F495" s="192"/>
      <c r="G495" s="192"/>
      <c r="H495" s="192"/>
      <c r="I495" s="192"/>
      <c r="J495" s="192"/>
      <c r="K495" s="192"/>
      <c r="L495" s="192"/>
      <c r="M495" s="192"/>
      <c r="N495" s="192"/>
      <c r="O495" s="192"/>
      <c r="P495" s="192"/>
      <c r="Q495" s="192"/>
      <c r="R495" s="192"/>
      <c r="S495" s="192"/>
      <c r="T495" s="192"/>
      <c r="U495" s="192"/>
      <c r="V495" s="192"/>
      <c r="W495" s="192"/>
      <c r="X495" s="192"/>
      <c r="Y495" s="192"/>
      <c r="Z495" s="192"/>
      <c r="AA495" s="192"/>
      <c r="AB495" s="192"/>
      <c r="AC495" s="192"/>
      <c r="AD495" s="192"/>
      <c r="AE495" s="192"/>
      <c r="AF495" s="192"/>
      <c r="AG495" s="192"/>
      <c r="AH495" s="192"/>
      <c r="AI495" s="192"/>
      <c r="AJ495" s="192"/>
      <c r="AK495" s="192"/>
      <c r="AL495" s="192"/>
      <c r="AM495" s="192"/>
      <c r="AN495" s="192"/>
      <c r="AO495" s="192"/>
      <c r="AP495" s="192"/>
      <c r="AQ495" s="192"/>
      <c r="AR495" s="192"/>
      <c r="AS495" s="192"/>
      <c r="AT495" s="192"/>
      <c r="AU495" s="192"/>
      <c r="AV495" s="192"/>
      <c r="AW495" s="192"/>
      <c r="AX495" s="192"/>
      <c r="AY495" s="192"/>
      <c r="AZ495" s="192"/>
      <c r="BA495" s="192"/>
      <c r="BB495" s="192"/>
      <c r="BC495" s="192"/>
      <c r="BD495" s="192"/>
      <c r="BE495" s="192"/>
      <c r="BF495" s="220" cm="1">
        <f t="array" ref="BF495">BF493*INDEX(LoanCohortRate,$A492)</f>
        <v>0.38541666666666669</v>
      </c>
      <c r="BG495" s="221" cm="1">
        <f t="array" ref="BG495">BG493*INDEX(LoanCohortRate,$A492)</f>
        <v>0.36676669522243527</v>
      </c>
      <c r="BH495" s="221" cm="1">
        <f t="array" ref="BH495">BH493*INDEX(LoanCohortRate,$A492)</f>
        <v>0.34782920338510526</v>
      </c>
      <c r="BI495" s="221" cm="1">
        <f t="array" ref="BI495">BI493*INDEX(LoanCohortRate,$A492)</f>
        <v>0.32859975854861645</v>
      </c>
      <c r="BJ495" s="221" cm="1">
        <f t="array" ref="BJ495">BJ493*INDEX(LoanCohortRate,$A492)</f>
        <v>0.30907385977089846</v>
      </c>
      <c r="BK495" s="221" cm="1">
        <f t="array" ref="BK495">BK493*INDEX(LoanCohortRate,$A492)</f>
        <v>0.28924693672035728</v>
      </c>
    </row>
    <row r="496" spans="1:63" ht="7.8" x14ac:dyDescent="0.15">
      <c r="A496" s="218" t="s">
        <v>177</v>
      </c>
      <c r="B496" s="192"/>
      <c r="C496" s="192"/>
      <c r="D496" s="192"/>
      <c r="E496" s="192"/>
      <c r="F496" s="192"/>
      <c r="G496" s="192"/>
      <c r="H496" s="192"/>
      <c r="I496" s="192"/>
      <c r="J496" s="192"/>
      <c r="K496" s="192"/>
      <c r="L496" s="192"/>
      <c r="M496" s="192"/>
      <c r="N496" s="192"/>
      <c r="O496" s="192"/>
      <c r="P496" s="192"/>
      <c r="Q496" s="192"/>
      <c r="R496" s="192"/>
      <c r="S496" s="192"/>
      <c r="T496" s="192"/>
      <c r="U496" s="192"/>
      <c r="V496" s="192"/>
      <c r="W496" s="192"/>
      <c r="X496" s="192"/>
      <c r="Y496" s="192"/>
      <c r="Z496" s="192"/>
      <c r="AA496" s="192"/>
      <c r="AB496" s="192"/>
      <c r="AC496" s="192"/>
      <c r="AD496" s="192"/>
      <c r="AE496" s="192"/>
      <c r="AF496" s="192"/>
      <c r="AG496" s="192"/>
      <c r="AH496" s="192"/>
      <c r="AI496" s="192"/>
      <c r="AJ496" s="192"/>
      <c r="AK496" s="192"/>
      <c r="AL496" s="192"/>
      <c r="AM496" s="192"/>
      <c r="AN496" s="192"/>
      <c r="AO496" s="192"/>
      <c r="AP496" s="192"/>
      <c r="AQ496" s="192"/>
      <c r="AR496" s="192"/>
      <c r="AS496" s="192"/>
      <c r="AT496" s="192"/>
      <c r="AU496" s="192"/>
      <c r="AV496" s="192"/>
      <c r="AW496" s="192"/>
      <c r="AX496" s="192"/>
      <c r="AY496" s="192"/>
      <c r="AZ496" s="192"/>
      <c r="BA496" s="192"/>
      <c r="BB496" s="192"/>
      <c r="BC496" s="192"/>
      <c r="BD496" s="192"/>
      <c r="BE496" s="192"/>
      <c r="BF496" s="219">
        <f>BF494-BF495</f>
        <v>1.2097278774636584</v>
      </c>
      <c r="BG496" s="222">
        <f t="shared" ref="BG496:BK496" si="5566">BG494-BG495</f>
        <v>1.2283778489078898</v>
      </c>
      <c r="BH496" s="222">
        <f t="shared" si="5566"/>
        <v>1.24731534074522</v>
      </c>
      <c r="BI496" s="222">
        <f t="shared" si="5566"/>
        <v>1.2665447855817087</v>
      </c>
      <c r="BJ496" s="222">
        <f t="shared" si="5566"/>
        <v>1.2860706843594267</v>
      </c>
      <c r="BK496" s="222">
        <f t="shared" si="5566"/>
        <v>1.305897607409968</v>
      </c>
    </row>
    <row r="497" spans="1:63" ht="7.8" x14ac:dyDescent="0.15">
      <c r="A497" s="205" t="s">
        <v>7</v>
      </c>
      <c r="B497" s="192"/>
      <c r="C497" s="192"/>
      <c r="D497" s="192"/>
      <c r="E497" s="192"/>
      <c r="F497" s="192"/>
      <c r="G497" s="192"/>
      <c r="H497" s="192"/>
      <c r="I497" s="192"/>
      <c r="J497" s="192"/>
      <c r="K497" s="192"/>
      <c r="L497" s="192"/>
      <c r="M497" s="192"/>
      <c r="N497" s="192"/>
      <c r="O497" s="192"/>
      <c r="P497" s="192"/>
      <c r="Q497" s="192"/>
      <c r="R497" s="192"/>
      <c r="S497" s="192"/>
      <c r="T497" s="192"/>
      <c r="U497" s="192"/>
      <c r="V497" s="192"/>
      <c r="W497" s="192"/>
      <c r="X497" s="192"/>
      <c r="Y497" s="192"/>
      <c r="Z497" s="192"/>
      <c r="AA497" s="192"/>
      <c r="AB497" s="192"/>
      <c r="AC497" s="192"/>
      <c r="AD497" s="192"/>
      <c r="AE497" s="192"/>
      <c r="AF497" s="192"/>
      <c r="AG497" s="192"/>
      <c r="AH497" s="192"/>
      <c r="AI497" s="192"/>
      <c r="AJ497" s="192"/>
      <c r="AK497" s="192"/>
      <c r="AL497" s="192"/>
      <c r="AM497" s="192"/>
      <c r="AN497" s="192"/>
      <c r="AO497" s="192"/>
      <c r="AP497" s="192"/>
      <c r="AQ497" s="192"/>
      <c r="AR497" s="192"/>
      <c r="AS497" s="192"/>
      <c r="AT497" s="192"/>
      <c r="AU497" s="192"/>
      <c r="AV497" s="192"/>
      <c r="AW497" s="192"/>
      <c r="AX497" s="192"/>
      <c r="AY497" s="192"/>
      <c r="AZ497" s="192"/>
      <c r="BA497" s="192"/>
      <c r="BB497" s="192"/>
      <c r="BC497" s="192"/>
      <c r="BD497" s="192"/>
      <c r="BE497" s="192"/>
      <c r="BF497" s="214" cm="1">
        <f t="array" ref="BF497">INDEX(LoanOriginations,$A492)</f>
        <v>130.90834575212335</v>
      </c>
      <c r="BG497" s="199">
        <f>BF497*(1-MitigateDelinquency*MitigateChargeoff)  *  IF(BG492=0,0,IF(BG492-102=LoanSaleHeld,0.6,1))</f>
        <v>130.77743740637123</v>
      </c>
      <c r="BH497" s="199">
        <f>BG497*(1-MitigateDelinquency*MitigateChargeoff)  *  IF(BH492=0,0,IF(BH492-102=LoanSaleHeld,0.6,1))</f>
        <v>130.64665996896485</v>
      </c>
      <c r="BI497" s="199">
        <f>BH497*(1-MitigateDelinquency*MitigateChargeoff)  *  IF(BI492=0,0,IF(BI492-102=LoanSaleHeld,0.6,1))</f>
        <v>130.51601330899589</v>
      </c>
      <c r="BJ497" s="199">
        <f>BI497*(1-MitigateDelinquency*MitigateChargeoff)  *  IF(BJ492=0,0,IF(BJ492-102=LoanSaleHeld,0.6,1))</f>
        <v>78.231298377412131</v>
      </c>
      <c r="BK497" s="199">
        <f>BJ497*(1-MitigateDelinquency*MitigateChargeoff)  *  IF(BK492=0,0,IF(BK492-102=LoanSaleHeld,0.6,1))</f>
        <v>78.153067079034713</v>
      </c>
    </row>
    <row r="498" spans="1:63" ht="7.8" x14ac:dyDescent="0.15">
      <c r="A498" s="207" t="s">
        <v>96</v>
      </c>
      <c r="B498" s="192"/>
      <c r="C498" s="192"/>
      <c r="D498" s="192"/>
      <c r="E498" s="192"/>
      <c r="F498" s="192"/>
      <c r="G498" s="192"/>
      <c r="H498" s="192"/>
      <c r="I498" s="192"/>
      <c r="J498" s="192"/>
      <c r="K498" s="192"/>
      <c r="L498" s="192"/>
      <c r="M498" s="192"/>
      <c r="N498" s="192"/>
      <c r="O498" s="192"/>
      <c r="P498" s="192"/>
      <c r="Q498" s="192"/>
      <c r="R498" s="192"/>
      <c r="S498" s="192"/>
      <c r="T498" s="192"/>
      <c r="U498" s="192"/>
      <c r="V498" s="192"/>
      <c r="W498" s="192"/>
      <c r="X498" s="192"/>
      <c r="Y498" s="192"/>
      <c r="Z498" s="192"/>
      <c r="AA498" s="192"/>
      <c r="AB498" s="192"/>
      <c r="AC498" s="192"/>
      <c r="AD498" s="192"/>
      <c r="AE498" s="192"/>
      <c r="AF498" s="192"/>
      <c r="AG498" s="192"/>
      <c r="AH498" s="192"/>
      <c r="AI498" s="192"/>
      <c r="AJ498" s="192"/>
      <c r="AK498" s="192"/>
      <c r="AL498" s="192"/>
      <c r="AM498" s="192"/>
      <c r="AN498" s="192"/>
      <c r="AO498" s="192"/>
      <c r="AP498" s="192"/>
      <c r="AQ498" s="192"/>
      <c r="AR498" s="192"/>
      <c r="AS498" s="192"/>
      <c r="AT498" s="192"/>
      <c r="AU498" s="192"/>
      <c r="AV498" s="192"/>
      <c r="AW498" s="192"/>
      <c r="AX498" s="192"/>
      <c r="AY498" s="192"/>
      <c r="AZ498" s="192"/>
      <c r="BA498" s="192"/>
      <c r="BB498" s="192"/>
      <c r="BC498" s="192"/>
      <c r="BD498" s="192"/>
      <c r="BE498" s="192"/>
      <c r="BF498" s="223">
        <f>BF495*BF497</f>
        <v>50.45425825863088</v>
      </c>
      <c r="BG498" s="200">
        <f t="shared" ref="BG498" si="5567">BG495*BG497</f>
        <v>47.964808527193661</v>
      </c>
      <c r="BH498" s="200">
        <f t="shared" ref="BH498" si="5568">BH495*BH497</f>
        <v>45.442723661929769</v>
      </c>
      <c r="BI498" s="200">
        <f t="shared" ref="BI498" si="5569">BI495*BI497</f>
        <v>42.887530460064063</v>
      </c>
      <c r="BJ498" s="200">
        <f t="shared" ref="BJ498" si="5570">BJ495*BJ497</f>
        <v>24.179249344395593</v>
      </c>
      <c r="BK498" s="200">
        <f t="shared" ref="BK498" si="5571">BK495*BK497</f>
        <v>22.605535247911391</v>
      </c>
    </row>
    <row r="499" spans="1:63" ht="7.8" x14ac:dyDescent="0.15">
      <c r="A499" s="206" t="s">
        <v>97</v>
      </c>
      <c r="B499" s="192"/>
      <c r="C499" s="192"/>
      <c r="D499" s="192"/>
      <c r="E499" s="192"/>
      <c r="F499" s="192"/>
      <c r="G499" s="192"/>
      <c r="H499" s="192"/>
      <c r="I499" s="192"/>
      <c r="J499" s="192"/>
      <c r="K499" s="192"/>
      <c r="L499" s="192"/>
      <c r="M499" s="192"/>
      <c r="N499" s="192"/>
      <c r="O499" s="192"/>
      <c r="P499" s="192"/>
      <c r="Q499" s="192"/>
      <c r="R499" s="192"/>
      <c r="S499" s="192"/>
      <c r="T499" s="192"/>
      <c r="U499" s="192"/>
      <c r="V499" s="192"/>
      <c r="W499" s="192"/>
      <c r="X499" s="192"/>
      <c r="Y499" s="192"/>
      <c r="Z499" s="192"/>
      <c r="AA499" s="192"/>
      <c r="AB499" s="192"/>
      <c r="AC499" s="192"/>
      <c r="AD499" s="192"/>
      <c r="AE499" s="192"/>
      <c r="AF499" s="192"/>
      <c r="AG499" s="192"/>
      <c r="AH499" s="192"/>
      <c r="AI499" s="192"/>
      <c r="AJ499" s="192"/>
      <c r="AK499" s="192"/>
      <c r="AL499" s="192"/>
      <c r="AM499" s="192"/>
      <c r="AN499" s="192"/>
      <c r="AO499" s="192"/>
      <c r="AP499" s="192"/>
      <c r="AQ499" s="192"/>
      <c r="AR499" s="192"/>
      <c r="AS499" s="192"/>
      <c r="AT499" s="192"/>
      <c r="AU499" s="192"/>
      <c r="AV499" s="192"/>
      <c r="AW499" s="192"/>
      <c r="AX499" s="192"/>
      <c r="AY499" s="192"/>
      <c r="AZ499" s="192"/>
      <c r="BA499" s="192"/>
      <c r="BB499" s="192"/>
      <c r="BC499" s="192"/>
      <c r="BD499" s="192"/>
      <c r="BE499" s="192"/>
      <c r="BF499" s="223">
        <f>BF496*BF497</f>
        <v>158.36347524899492</v>
      </c>
      <c r="BG499" s="200">
        <f>BG496*BG497</f>
        <v>160.64410724692451</v>
      </c>
      <c r="BH499" s="200">
        <f t="shared" ref="BH499:BK499" si="5572">BH496*BH497</f>
        <v>162.95758319641428</v>
      </c>
      <c r="BI499" s="200">
        <f t="shared" si="5572"/>
        <v>165.30437609142163</v>
      </c>
      <c r="BJ499" s="200">
        <f t="shared" si="5572"/>
        <v>100.61097944256493</v>
      </c>
      <c r="BK499" s="200">
        <f t="shared" si="5572"/>
        <v>102.05990331026217</v>
      </c>
    </row>
    <row r="500" spans="1:63" ht="7.8" x14ac:dyDescent="0.15">
      <c r="A500" s="208" t="s">
        <v>203</v>
      </c>
      <c r="B500" s="192"/>
      <c r="C500" s="192"/>
      <c r="D500" s="192"/>
      <c r="E500" s="192"/>
      <c r="F500" s="192"/>
      <c r="G500" s="192"/>
      <c r="H500" s="192"/>
      <c r="I500" s="192"/>
      <c r="J500" s="192"/>
      <c r="K500" s="192"/>
      <c r="L500" s="192"/>
      <c r="M500" s="192"/>
      <c r="N500" s="192"/>
      <c r="O500" s="192"/>
      <c r="P500" s="192"/>
      <c r="Q500" s="192"/>
      <c r="R500" s="192"/>
      <c r="S500" s="192"/>
      <c r="T500" s="192"/>
      <c r="U500" s="192"/>
      <c r="V500" s="192"/>
      <c r="W500" s="192"/>
      <c r="X500" s="192"/>
      <c r="Y500" s="192"/>
      <c r="Z500" s="192"/>
      <c r="AA500" s="192"/>
      <c r="AB500" s="192"/>
      <c r="AC500" s="192"/>
      <c r="AD500" s="192"/>
      <c r="AE500" s="192"/>
      <c r="AF500" s="192"/>
      <c r="AG500" s="192"/>
      <c r="AH500" s="192"/>
      <c r="AI500" s="192"/>
      <c r="AJ500" s="192"/>
      <c r="AK500" s="192"/>
      <c r="AL500" s="192"/>
      <c r="AM500" s="192"/>
      <c r="AN500" s="192"/>
      <c r="AO500" s="192"/>
      <c r="AP500" s="192"/>
      <c r="AQ500" s="192"/>
      <c r="AR500" s="192"/>
      <c r="AS500" s="192"/>
      <c r="AT500" s="192"/>
      <c r="AU500" s="192"/>
      <c r="AV500" s="192"/>
      <c r="AW500" s="192"/>
      <c r="AX500" s="192"/>
      <c r="AY500" s="192"/>
      <c r="AZ500" s="192"/>
      <c r="BA500" s="192"/>
      <c r="BB500" s="192"/>
      <c r="BC500" s="192"/>
      <c r="BD500" s="192"/>
      <c r="BE500" s="192"/>
      <c r="BF500" s="224">
        <f>IF(BF492-101&lt;&gt;LoanSaleHeld,0,SUM($D499:BF499)*LoanSalePercent)</f>
        <v>0</v>
      </c>
      <c r="BG500" s="225">
        <f>IF(BG492-101&lt;&gt;LoanSaleHeld,0,SUM($D499:BG499)*LoanSalePercent)</f>
        <v>0</v>
      </c>
      <c r="BH500" s="225">
        <f>IF(BH492-101&lt;&gt;LoanSaleHeld,0,SUM($D499:BH499)*LoanSalePercent)</f>
        <v>0</v>
      </c>
      <c r="BI500" s="225">
        <f>IF(BI492-101&lt;&gt;LoanSaleHeld,0,SUM($D499:BI499)*LoanSalePercent)</f>
        <v>258.90781671350214</v>
      </c>
      <c r="BJ500" s="225">
        <f>IF(BJ492-101&lt;&gt;LoanSaleHeld,0,SUM($D499:BJ499)*LoanSalePercent)</f>
        <v>0</v>
      </c>
      <c r="BK500" s="225">
        <f>IF(BK492-101&lt;&gt;LoanSaleHeld,0,SUM($D499:BK499)*LoanSalePercent)</f>
        <v>0</v>
      </c>
    </row>
    <row r="501" spans="1:63" ht="7.8" x14ac:dyDescent="0.15">
      <c r="A501" s="204">
        <f t="shared" ref="A501" si="5573">A492+1</f>
        <v>56</v>
      </c>
      <c r="B501" s="192"/>
      <c r="C501" s="192"/>
      <c r="D501" s="192"/>
      <c r="E501" s="192"/>
      <c r="F501" s="192"/>
      <c r="G501" s="192"/>
      <c r="H501" s="192"/>
      <c r="I501" s="192"/>
      <c r="J501" s="192"/>
      <c r="K501" s="192"/>
      <c r="L501" s="192"/>
      <c r="M501" s="192"/>
      <c r="N501" s="192"/>
      <c r="O501" s="192"/>
      <c r="P501" s="192"/>
      <c r="Q501" s="192"/>
      <c r="R501" s="192"/>
      <c r="S501" s="192"/>
      <c r="T501" s="192"/>
      <c r="U501" s="192"/>
      <c r="V501" s="192"/>
      <c r="W501" s="192"/>
      <c r="X501" s="192"/>
      <c r="Y501" s="192"/>
      <c r="Z501" s="192"/>
      <c r="AA501" s="192"/>
      <c r="AB501" s="192"/>
      <c r="AC501" s="192"/>
      <c r="AD501" s="192"/>
      <c r="AE501" s="192"/>
      <c r="AF501" s="192"/>
      <c r="AG501" s="192"/>
      <c r="AH501" s="192"/>
      <c r="AI501" s="192"/>
      <c r="AJ501" s="192"/>
      <c r="AK501" s="192"/>
      <c r="AL501" s="192"/>
      <c r="AM501" s="192"/>
      <c r="AN501" s="192"/>
      <c r="AO501" s="192"/>
      <c r="AP501" s="192"/>
      <c r="AQ501" s="192"/>
      <c r="AR501" s="192"/>
      <c r="AS501" s="192"/>
      <c r="AT501" s="192"/>
      <c r="AU501" s="192"/>
      <c r="AV501" s="192"/>
      <c r="AW501" s="192"/>
      <c r="AX501" s="192"/>
      <c r="AY501" s="192"/>
      <c r="AZ501" s="192"/>
      <c r="BA501" s="192"/>
      <c r="BB501" s="192"/>
      <c r="BC501" s="192"/>
      <c r="BD501" s="192"/>
      <c r="BE501" s="192"/>
      <c r="BF501" s="192"/>
      <c r="BG501" s="195">
        <v>101</v>
      </c>
      <c r="BH501" s="196">
        <f t="shared" ref="BH501" si="5574">IF(BH502=0,0,BG501+1)</f>
        <v>102</v>
      </c>
      <c r="BI501" s="196">
        <f t="shared" ref="BI501" si="5575">IF(BI502=0,0,BH501+1)</f>
        <v>103</v>
      </c>
      <c r="BJ501" s="196">
        <f t="shared" ref="BJ501" si="5576">IF(BJ502=0,0,BI501+1)</f>
        <v>104</v>
      </c>
      <c r="BK501" s="196">
        <f t="shared" ref="BK501" si="5577">IF(BK502=0,0,BJ501+1)</f>
        <v>105</v>
      </c>
    </row>
    <row r="502" spans="1:63" ht="7.8" x14ac:dyDescent="0.15">
      <c r="A502" s="216" t="s">
        <v>178</v>
      </c>
      <c r="B502" s="192"/>
      <c r="C502" s="192"/>
      <c r="D502" s="192"/>
      <c r="E502" s="192"/>
      <c r="F502" s="192"/>
      <c r="G502" s="192"/>
      <c r="H502" s="192"/>
      <c r="I502" s="192"/>
      <c r="J502" s="192"/>
      <c r="K502" s="192"/>
      <c r="L502" s="192"/>
      <c r="M502" s="192"/>
      <c r="N502" s="192"/>
      <c r="O502" s="192"/>
      <c r="P502" s="192"/>
      <c r="Q502" s="192"/>
      <c r="R502" s="192"/>
      <c r="S502" s="192"/>
      <c r="T502" s="192"/>
      <c r="U502" s="192"/>
      <c r="V502" s="192"/>
      <c r="W502" s="192"/>
      <c r="X502" s="192"/>
      <c r="Y502" s="192"/>
      <c r="Z502" s="192"/>
      <c r="AA502" s="192"/>
      <c r="AB502" s="192"/>
      <c r="AC502" s="192"/>
      <c r="AD502" s="192"/>
      <c r="AE502" s="192"/>
      <c r="AF502" s="192"/>
      <c r="AG502" s="192"/>
      <c r="AH502" s="192"/>
      <c r="AI502" s="192"/>
      <c r="AJ502" s="192"/>
      <c r="AK502" s="192"/>
      <c r="AL502" s="192"/>
      <c r="AM502" s="192"/>
      <c r="AN502" s="192"/>
      <c r="AO502" s="192"/>
      <c r="AP502" s="192"/>
      <c r="AQ502" s="192"/>
      <c r="AR502" s="192"/>
      <c r="AS502" s="192"/>
      <c r="AT502" s="192"/>
      <c r="AU502" s="192"/>
      <c r="AV502" s="192"/>
      <c r="AW502" s="192"/>
      <c r="AX502" s="192"/>
      <c r="AY502" s="192"/>
      <c r="AZ502" s="192"/>
      <c r="BA502" s="192"/>
      <c r="BB502" s="192"/>
      <c r="BC502" s="192"/>
      <c r="BD502" s="192"/>
      <c r="BE502" s="192"/>
      <c r="BF502" s="192"/>
      <c r="BG502" s="217">
        <f>LoanSize</f>
        <v>25</v>
      </c>
      <c r="BH502" s="215">
        <f>IF(BG502-BG505&lt;=0.1,0,BG502-BG505)</f>
        <v>23.79027212253634</v>
      </c>
      <c r="BI502" s="215">
        <f t="shared" ref="BI502:BK502" si="5578">IF(BH502-BH505&lt;=0.1,0,BH502-BH505)</f>
        <v>22.56189427362845</v>
      </c>
      <c r="BJ502" s="215">
        <f t="shared" si="5578"/>
        <v>21.314578932883229</v>
      </c>
      <c r="BK502" s="215">
        <f t="shared" si="5578"/>
        <v>20.048034147301522</v>
      </c>
    </row>
    <row r="503" spans="1:63" ht="7.8" x14ac:dyDescent="0.15">
      <c r="A503" s="218" t="s">
        <v>179</v>
      </c>
      <c r="B503" s="192"/>
      <c r="C503" s="192"/>
      <c r="D503" s="192"/>
      <c r="E503" s="192"/>
      <c r="F503" s="192"/>
      <c r="G503" s="192"/>
      <c r="H503" s="192"/>
      <c r="I503" s="192"/>
      <c r="J503" s="192"/>
      <c r="K503" s="192"/>
      <c r="L503" s="192"/>
      <c r="M503" s="192"/>
      <c r="N503" s="192"/>
      <c r="O503" s="192"/>
      <c r="P503" s="192"/>
      <c r="Q503" s="192"/>
      <c r="R503" s="192"/>
      <c r="S503" s="192"/>
      <c r="T503" s="192"/>
      <c r="U503" s="192"/>
      <c r="V503" s="192"/>
      <c r="W503" s="192"/>
      <c r="X503" s="192"/>
      <c r="Y503" s="192"/>
      <c r="Z503" s="192"/>
      <c r="AA503" s="192"/>
      <c r="AB503" s="192"/>
      <c r="AC503" s="192"/>
      <c r="AD503" s="192"/>
      <c r="AE503" s="192"/>
      <c r="AF503" s="192"/>
      <c r="AG503" s="192"/>
      <c r="AH503" s="192"/>
      <c r="AI503" s="192"/>
      <c r="AJ503" s="192"/>
      <c r="AK503" s="192"/>
      <c r="AL503" s="192"/>
      <c r="AM503" s="192"/>
      <c r="AN503" s="192"/>
      <c r="AO503" s="192"/>
      <c r="AP503" s="192"/>
      <c r="AQ503" s="192"/>
      <c r="AR503" s="192"/>
      <c r="AS503" s="192"/>
      <c r="AT503" s="192"/>
      <c r="AU503" s="192"/>
      <c r="AV503" s="192"/>
      <c r="AW503" s="192"/>
      <c r="AX503" s="192"/>
      <c r="AY503" s="192"/>
      <c r="AZ503" s="192"/>
      <c r="BA503" s="192"/>
      <c r="BB503" s="192"/>
      <c r="BC503" s="192"/>
      <c r="BD503" s="192"/>
      <c r="BE503" s="192"/>
      <c r="BF503" s="192"/>
      <c r="BG503" s="219">
        <f>IF(BG502=0,0,PMT(INDEX(LoanCohortRate,1),LoanTerm, -LoanSize))</f>
        <v>1.5951445441303251</v>
      </c>
      <c r="BH503" s="222">
        <f t="shared" ref="BH503" si="5579">IF(BH502=0,0, BG503)</f>
        <v>1.5951445441303251</v>
      </c>
      <c r="BI503" s="222">
        <f t="shared" ref="BI503" si="5580">IF(BI502=0,0, BH503)</f>
        <v>1.5951445441303251</v>
      </c>
      <c r="BJ503" s="222">
        <f t="shared" ref="BJ503" si="5581">IF(BJ502=0,0, BI503)</f>
        <v>1.5951445441303251</v>
      </c>
      <c r="BK503" s="222">
        <f t="shared" ref="BK503" si="5582">IF(BK502=0,0, BJ503)</f>
        <v>1.5951445441303251</v>
      </c>
    </row>
    <row r="504" spans="1:63" ht="7.8" x14ac:dyDescent="0.15">
      <c r="A504" s="218" t="s">
        <v>180</v>
      </c>
      <c r="B504" s="192"/>
      <c r="C504" s="192"/>
      <c r="D504" s="192"/>
      <c r="E504" s="192"/>
      <c r="F504" s="192"/>
      <c r="G504" s="192"/>
      <c r="H504" s="192"/>
      <c r="I504" s="192"/>
      <c r="J504" s="192"/>
      <c r="K504" s="192"/>
      <c r="L504" s="192"/>
      <c r="M504" s="192"/>
      <c r="N504" s="192"/>
      <c r="O504" s="192"/>
      <c r="P504" s="192"/>
      <c r="Q504" s="192"/>
      <c r="R504" s="192"/>
      <c r="S504" s="192"/>
      <c r="T504" s="192"/>
      <c r="U504" s="192"/>
      <c r="V504" s="192"/>
      <c r="W504" s="192"/>
      <c r="X504" s="192"/>
      <c r="Y504" s="192"/>
      <c r="Z504" s="192"/>
      <c r="AA504" s="192"/>
      <c r="AB504" s="192"/>
      <c r="AC504" s="192"/>
      <c r="AD504" s="192"/>
      <c r="AE504" s="192"/>
      <c r="AF504" s="192"/>
      <c r="AG504" s="192"/>
      <c r="AH504" s="192"/>
      <c r="AI504" s="192"/>
      <c r="AJ504" s="192"/>
      <c r="AK504" s="192"/>
      <c r="AL504" s="192"/>
      <c r="AM504" s="192"/>
      <c r="AN504" s="192"/>
      <c r="AO504" s="192"/>
      <c r="AP504" s="192"/>
      <c r="AQ504" s="192"/>
      <c r="AR504" s="192"/>
      <c r="AS504" s="192"/>
      <c r="AT504" s="192"/>
      <c r="AU504" s="192"/>
      <c r="AV504" s="192"/>
      <c r="AW504" s="192"/>
      <c r="AX504" s="192"/>
      <c r="AY504" s="192"/>
      <c r="AZ504" s="192"/>
      <c r="BA504" s="192"/>
      <c r="BB504" s="192"/>
      <c r="BC504" s="192"/>
      <c r="BD504" s="192"/>
      <c r="BE504" s="192"/>
      <c r="BF504" s="192"/>
      <c r="BG504" s="220" cm="1">
        <f t="array" ref="BG504">BG502*INDEX(LoanCohortRate,$A501)</f>
        <v>0.38541666666666669</v>
      </c>
      <c r="BH504" s="221" cm="1">
        <f t="array" ref="BH504">BH502*INDEX(LoanCohortRate,$A501)</f>
        <v>0.36676669522243527</v>
      </c>
      <c r="BI504" s="221" cm="1">
        <f t="array" ref="BI504">BI502*INDEX(LoanCohortRate,$A501)</f>
        <v>0.34782920338510526</v>
      </c>
      <c r="BJ504" s="221" cm="1">
        <f t="array" ref="BJ504">BJ502*INDEX(LoanCohortRate,$A501)</f>
        <v>0.32859975854861645</v>
      </c>
      <c r="BK504" s="221" cm="1">
        <f t="array" ref="BK504">BK502*INDEX(LoanCohortRate,$A501)</f>
        <v>0.30907385977089846</v>
      </c>
    </row>
    <row r="505" spans="1:63" ht="7.8" x14ac:dyDescent="0.15">
      <c r="A505" s="218" t="s">
        <v>177</v>
      </c>
      <c r="B505" s="192"/>
      <c r="C505" s="192"/>
      <c r="D505" s="192"/>
      <c r="E505" s="192"/>
      <c r="F505" s="192"/>
      <c r="G505" s="192"/>
      <c r="H505" s="192"/>
      <c r="I505" s="192"/>
      <c r="J505" s="192"/>
      <c r="K505" s="192"/>
      <c r="L505" s="192"/>
      <c r="M505" s="192"/>
      <c r="N505" s="192"/>
      <c r="O505" s="192"/>
      <c r="P505" s="192"/>
      <c r="Q505" s="192"/>
      <c r="R505" s="192"/>
      <c r="S505" s="192"/>
      <c r="T505" s="192"/>
      <c r="U505" s="192"/>
      <c r="V505" s="192"/>
      <c r="W505" s="192"/>
      <c r="X505" s="192"/>
      <c r="Y505" s="192"/>
      <c r="Z505" s="192"/>
      <c r="AA505" s="192"/>
      <c r="AB505" s="192"/>
      <c r="AC505" s="192"/>
      <c r="AD505" s="192"/>
      <c r="AE505" s="192"/>
      <c r="AF505" s="192"/>
      <c r="AG505" s="192"/>
      <c r="AH505" s="192"/>
      <c r="AI505" s="192"/>
      <c r="AJ505" s="192"/>
      <c r="AK505" s="192"/>
      <c r="AL505" s="192"/>
      <c r="AM505" s="192"/>
      <c r="AN505" s="192"/>
      <c r="AO505" s="192"/>
      <c r="AP505" s="192"/>
      <c r="AQ505" s="192"/>
      <c r="AR505" s="192"/>
      <c r="AS505" s="192"/>
      <c r="AT505" s="192"/>
      <c r="AU505" s="192"/>
      <c r="AV505" s="192"/>
      <c r="AW505" s="192"/>
      <c r="AX505" s="192"/>
      <c r="AY505" s="192"/>
      <c r="AZ505" s="192"/>
      <c r="BA505" s="192"/>
      <c r="BB505" s="192"/>
      <c r="BC505" s="192"/>
      <c r="BD505" s="192"/>
      <c r="BE505" s="192"/>
      <c r="BF505" s="192"/>
      <c r="BG505" s="219">
        <f>BG503-BG504</f>
        <v>1.2097278774636584</v>
      </c>
      <c r="BH505" s="222">
        <f t="shared" ref="BH505:BK505" si="5583">BH503-BH504</f>
        <v>1.2283778489078898</v>
      </c>
      <c r="BI505" s="222">
        <f t="shared" si="5583"/>
        <v>1.24731534074522</v>
      </c>
      <c r="BJ505" s="222">
        <f t="shared" si="5583"/>
        <v>1.2665447855817087</v>
      </c>
      <c r="BK505" s="222">
        <f t="shared" si="5583"/>
        <v>1.2860706843594267</v>
      </c>
    </row>
    <row r="506" spans="1:63" ht="7.8" x14ac:dyDescent="0.15">
      <c r="A506" s="205" t="s">
        <v>7</v>
      </c>
      <c r="B506" s="192"/>
      <c r="C506" s="192"/>
      <c r="D506" s="192"/>
      <c r="E506" s="192"/>
      <c r="F506" s="192"/>
      <c r="G506" s="192"/>
      <c r="H506" s="192"/>
      <c r="I506" s="192"/>
      <c r="J506" s="192"/>
      <c r="K506" s="192"/>
      <c r="L506" s="192"/>
      <c r="M506" s="192"/>
      <c r="N506" s="192"/>
      <c r="O506" s="192"/>
      <c r="P506" s="192"/>
      <c r="Q506" s="192"/>
      <c r="R506" s="192"/>
      <c r="S506" s="192"/>
      <c r="T506" s="192"/>
      <c r="U506" s="192"/>
      <c r="V506" s="192"/>
      <c r="W506" s="192"/>
      <c r="X506" s="192"/>
      <c r="Y506" s="192"/>
      <c r="Z506" s="192"/>
      <c r="AA506" s="192"/>
      <c r="AB506" s="192"/>
      <c r="AC506" s="192"/>
      <c r="AD506" s="192"/>
      <c r="AE506" s="192"/>
      <c r="AF506" s="192"/>
      <c r="AG506" s="192"/>
      <c r="AH506" s="192"/>
      <c r="AI506" s="192"/>
      <c r="AJ506" s="192"/>
      <c r="AK506" s="192"/>
      <c r="AL506" s="192"/>
      <c r="AM506" s="192"/>
      <c r="AN506" s="192"/>
      <c r="AO506" s="192"/>
      <c r="AP506" s="192"/>
      <c r="AQ506" s="192"/>
      <c r="AR506" s="192"/>
      <c r="AS506" s="192"/>
      <c r="AT506" s="192"/>
      <c r="AU506" s="192"/>
      <c r="AV506" s="192"/>
      <c r="AW506" s="192"/>
      <c r="AX506" s="192"/>
      <c r="AY506" s="192"/>
      <c r="AZ506" s="192"/>
      <c r="BA506" s="192"/>
      <c r="BB506" s="192"/>
      <c r="BC506" s="192"/>
      <c r="BD506" s="192"/>
      <c r="BE506" s="192"/>
      <c r="BF506" s="192"/>
      <c r="BG506" s="214" cm="1">
        <f t="array" ref="BG506">INDEX(LoanOriginations,$A501)</f>
        <v>131.56288748088394</v>
      </c>
      <c r="BH506" s="199">
        <f>BG506*(1-MitigateDelinquency*MitigateChargeoff)  *  IF(BH501=0,0,IF(BH501-102=LoanSaleHeld,0.6,1))</f>
        <v>131.43132459340305</v>
      </c>
      <c r="BI506" s="199">
        <f>BH506*(1-MitigateDelinquency*MitigateChargeoff)  *  IF(BI501=0,0,IF(BI501-102=LoanSaleHeld,0.6,1))</f>
        <v>131.29989326880965</v>
      </c>
      <c r="BJ506" s="199">
        <f>BI506*(1-MitigateDelinquency*MitigateChargeoff)  *  IF(BJ501=0,0,IF(BJ501-102=LoanSaleHeld,0.6,1))</f>
        <v>131.16859337554084</v>
      </c>
      <c r="BK506" s="199">
        <f>BJ506*(1-MitigateDelinquency*MitigateChargeoff)  *  IF(BK501=0,0,IF(BK501-102=LoanSaleHeld,0.6,1))</f>
        <v>78.622454869299176</v>
      </c>
    </row>
    <row r="507" spans="1:63" ht="7.8" x14ac:dyDescent="0.15">
      <c r="A507" s="207" t="s">
        <v>96</v>
      </c>
      <c r="B507" s="192"/>
      <c r="C507" s="192"/>
      <c r="D507" s="192"/>
      <c r="E507" s="192"/>
      <c r="F507" s="192"/>
      <c r="G507" s="192"/>
      <c r="H507" s="192"/>
      <c r="I507" s="192"/>
      <c r="J507" s="192"/>
      <c r="K507" s="192"/>
      <c r="L507" s="192"/>
      <c r="M507" s="192"/>
      <c r="N507" s="192"/>
      <c r="O507" s="192"/>
      <c r="P507" s="192"/>
      <c r="Q507" s="192"/>
      <c r="R507" s="192"/>
      <c r="S507" s="192"/>
      <c r="T507" s="192"/>
      <c r="U507" s="192"/>
      <c r="V507" s="192"/>
      <c r="W507" s="192"/>
      <c r="X507" s="192"/>
      <c r="Y507" s="192"/>
      <c r="Z507" s="192"/>
      <c r="AA507" s="192"/>
      <c r="AB507" s="192"/>
      <c r="AC507" s="192"/>
      <c r="AD507" s="192"/>
      <c r="AE507" s="192"/>
      <c r="AF507" s="192"/>
      <c r="AG507" s="192"/>
      <c r="AH507" s="192"/>
      <c r="AI507" s="192"/>
      <c r="AJ507" s="192"/>
      <c r="AK507" s="192"/>
      <c r="AL507" s="192"/>
      <c r="AM507" s="192"/>
      <c r="AN507" s="192"/>
      <c r="AO507" s="192"/>
      <c r="AP507" s="192"/>
      <c r="AQ507" s="192"/>
      <c r="AR507" s="192"/>
      <c r="AS507" s="192"/>
      <c r="AT507" s="192"/>
      <c r="AU507" s="192"/>
      <c r="AV507" s="192"/>
      <c r="AW507" s="192"/>
      <c r="AX507" s="192"/>
      <c r="AY507" s="192"/>
      <c r="AZ507" s="192"/>
      <c r="BA507" s="192"/>
      <c r="BB507" s="192"/>
      <c r="BC507" s="192"/>
      <c r="BD507" s="192"/>
      <c r="BE507" s="192"/>
      <c r="BF507" s="192"/>
      <c r="BG507" s="223">
        <f>BG504*BG506</f>
        <v>50.706529549924021</v>
      </c>
      <c r="BH507" s="200">
        <f t="shared" ref="BH507" si="5584">BH504*BH506</f>
        <v>48.20463256982962</v>
      </c>
      <c r="BI507" s="200">
        <f t="shared" ref="BI507" si="5585">BI504*BI506</f>
        <v>45.669937280239409</v>
      </c>
      <c r="BJ507" s="200">
        <f t="shared" ref="BJ507" si="5586">BJ504*BJ506</f>
        <v>43.101968112364368</v>
      </c>
      <c r="BK507" s="200">
        <f t="shared" ref="BK507" si="5587">BK504*BK506</f>
        <v>24.300145591117566</v>
      </c>
    </row>
    <row r="508" spans="1:63" ht="7.8" x14ac:dyDescent="0.15">
      <c r="A508" s="206" t="s">
        <v>97</v>
      </c>
      <c r="B508" s="192"/>
      <c r="C508" s="192"/>
      <c r="D508" s="192"/>
      <c r="E508" s="192"/>
      <c r="F508" s="192"/>
      <c r="G508" s="192"/>
      <c r="H508" s="192"/>
      <c r="I508" s="192"/>
      <c r="J508" s="192"/>
      <c r="K508" s="192"/>
      <c r="L508" s="192"/>
      <c r="M508" s="192"/>
      <c r="N508" s="192"/>
      <c r="O508" s="192"/>
      <c r="P508" s="192"/>
      <c r="Q508" s="192"/>
      <c r="R508" s="192"/>
      <c r="S508" s="192"/>
      <c r="T508" s="192"/>
      <c r="U508" s="192"/>
      <c r="V508" s="192"/>
      <c r="W508" s="192"/>
      <c r="X508" s="192"/>
      <c r="Y508" s="192"/>
      <c r="Z508" s="192"/>
      <c r="AA508" s="192"/>
      <c r="AB508" s="192"/>
      <c r="AC508" s="192"/>
      <c r="AD508" s="192"/>
      <c r="AE508" s="192"/>
      <c r="AF508" s="192"/>
      <c r="AG508" s="192"/>
      <c r="AH508" s="192"/>
      <c r="AI508" s="192"/>
      <c r="AJ508" s="192"/>
      <c r="AK508" s="192"/>
      <c r="AL508" s="192"/>
      <c r="AM508" s="192"/>
      <c r="AN508" s="192"/>
      <c r="AO508" s="192"/>
      <c r="AP508" s="192"/>
      <c r="AQ508" s="192"/>
      <c r="AR508" s="192"/>
      <c r="AS508" s="192"/>
      <c r="AT508" s="192"/>
      <c r="AU508" s="192"/>
      <c r="AV508" s="192"/>
      <c r="AW508" s="192"/>
      <c r="AX508" s="192"/>
      <c r="AY508" s="192"/>
      <c r="AZ508" s="192"/>
      <c r="BA508" s="192"/>
      <c r="BB508" s="192"/>
      <c r="BC508" s="192"/>
      <c r="BD508" s="192"/>
      <c r="BE508" s="192"/>
      <c r="BF508" s="192"/>
      <c r="BG508" s="223">
        <f>BG505*BG506</f>
        <v>159.15529262523984</v>
      </c>
      <c r="BH508" s="200">
        <f>BH505*BH506</f>
        <v>161.44732778315907</v>
      </c>
      <c r="BI508" s="200">
        <f t="shared" ref="BI508:BK508" si="5588">BI505*BI506</f>
        <v>163.77237111239634</v>
      </c>
      <c r="BJ508" s="200">
        <f t="shared" si="5588"/>
        <v>166.13089797187871</v>
      </c>
      <c r="BK508" s="200">
        <f t="shared" si="5588"/>
        <v>101.11403433977773</v>
      </c>
    </row>
    <row r="509" spans="1:63" ht="7.8" x14ac:dyDescent="0.15">
      <c r="A509" s="208" t="s">
        <v>203</v>
      </c>
      <c r="B509" s="192"/>
      <c r="C509" s="192"/>
      <c r="D509" s="192"/>
      <c r="E509" s="192"/>
      <c r="F509" s="192"/>
      <c r="G509" s="192"/>
      <c r="H509" s="192"/>
      <c r="I509" s="192"/>
      <c r="J509" s="192"/>
      <c r="K509" s="192"/>
      <c r="L509" s="192"/>
      <c r="M509" s="192"/>
      <c r="N509" s="192"/>
      <c r="O509" s="192"/>
      <c r="P509" s="192"/>
      <c r="Q509" s="192"/>
      <c r="R509" s="192"/>
      <c r="S509" s="192"/>
      <c r="T509" s="192"/>
      <c r="U509" s="192"/>
      <c r="V509" s="192"/>
      <c r="W509" s="192"/>
      <c r="X509" s="192"/>
      <c r="Y509" s="192"/>
      <c r="Z509" s="192"/>
      <c r="AA509" s="192"/>
      <c r="AB509" s="192"/>
      <c r="AC509" s="192"/>
      <c r="AD509" s="192"/>
      <c r="AE509" s="192"/>
      <c r="AF509" s="192"/>
      <c r="AG509" s="192"/>
      <c r="AH509" s="192"/>
      <c r="AI509" s="192"/>
      <c r="AJ509" s="192"/>
      <c r="AK509" s="192"/>
      <c r="AL509" s="192"/>
      <c r="AM509" s="192"/>
      <c r="AN509" s="192"/>
      <c r="AO509" s="192"/>
      <c r="AP509" s="192"/>
      <c r="AQ509" s="192"/>
      <c r="AR509" s="192"/>
      <c r="AS509" s="192"/>
      <c r="AT509" s="192"/>
      <c r="AU509" s="192"/>
      <c r="AV509" s="192"/>
      <c r="AW509" s="192"/>
      <c r="AX509" s="192"/>
      <c r="AY509" s="192"/>
      <c r="AZ509" s="192"/>
      <c r="BA509" s="192"/>
      <c r="BB509" s="192"/>
      <c r="BC509" s="192"/>
      <c r="BD509" s="192"/>
      <c r="BE509" s="192"/>
      <c r="BF509" s="192"/>
      <c r="BG509" s="224">
        <f>IF(BG501-101&lt;&gt;LoanSaleHeld,0,SUM($D508:BG508)*LoanSalePercent)</f>
        <v>0</v>
      </c>
      <c r="BH509" s="225">
        <f>IF(BH501-101&lt;&gt;LoanSaleHeld,0,SUM($D508:BH508)*LoanSalePercent)</f>
        <v>0</v>
      </c>
      <c r="BI509" s="225">
        <f>IF(BI501-101&lt;&gt;LoanSaleHeld,0,SUM($D508:BI508)*LoanSalePercent)</f>
        <v>0</v>
      </c>
      <c r="BJ509" s="225">
        <f>IF(BJ501-101&lt;&gt;LoanSaleHeld,0,SUM($D508:BJ508)*LoanSalePercent)</f>
        <v>260.20235579706963</v>
      </c>
      <c r="BK509" s="225">
        <f>IF(BK501-101&lt;&gt;LoanSaleHeld,0,SUM($D508:BK508)*LoanSalePercent)</f>
        <v>0</v>
      </c>
    </row>
    <row r="510" spans="1:63" ht="7.8" x14ac:dyDescent="0.15">
      <c r="A510" s="204">
        <f t="shared" ref="A510" si="5589">A501+1</f>
        <v>57</v>
      </c>
      <c r="B510" s="192"/>
      <c r="C510" s="192"/>
      <c r="D510" s="192"/>
      <c r="E510" s="192"/>
      <c r="F510" s="192"/>
      <c r="G510" s="192"/>
      <c r="H510" s="192"/>
      <c r="I510" s="192"/>
      <c r="J510" s="192"/>
      <c r="K510" s="192"/>
      <c r="L510" s="192"/>
      <c r="M510" s="192"/>
      <c r="N510" s="192"/>
      <c r="O510" s="192"/>
      <c r="P510" s="192"/>
      <c r="Q510" s="192"/>
      <c r="R510" s="192"/>
      <c r="S510" s="192"/>
      <c r="T510" s="192"/>
      <c r="U510" s="192"/>
      <c r="V510" s="192"/>
      <c r="W510" s="192"/>
      <c r="X510" s="192"/>
      <c r="Y510" s="192"/>
      <c r="Z510" s="192"/>
      <c r="AA510" s="192"/>
      <c r="AB510" s="192"/>
      <c r="AC510" s="192"/>
      <c r="AD510" s="192"/>
      <c r="AE510" s="192"/>
      <c r="AF510" s="192"/>
      <c r="AG510" s="192"/>
      <c r="AH510" s="192"/>
      <c r="AI510" s="192"/>
      <c r="AJ510" s="192"/>
      <c r="AK510" s="192"/>
      <c r="AL510" s="192"/>
      <c r="AM510" s="192"/>
      <c r="AN510" s="192"/>
      <c r="AO510" s="192"/>
      <c r="AP510" s="192"/>
      <c r="AQ510" s="192"/>
      <c r="AR510" s="192"/>
      <c r="AS510" s="192"/>
      <c r="AT510" s="192"/>
      <c r="AU510" s="192"/>
      <c r="AV510" s="192"/>
      <c r="AW510" s="192"/>
      <c r="AX510" s="192"/>
      <c r="AY510" s="192"/>
      <c r="AZ510" s="192"/>
      <c r="BA510" s="192"/>
      <c r="BB510" s="192"/>
      <c r="BC510" s="192"/>
      <c r="BD510" s="192"/>
      <c r="BE510" s="192"/>
      <c r="BF510" s="192"/>
      <c r="BG510" s="192"/>
      <c r="BH510" s="195">
        <v>101</v>
      </c>
      <c r="BI510" s="196">
        <f t="shared" ref="BI510" si="5590">IF(BI511=0,0,BH510+1)</f>
        <v>102</v>
      </c>
      <c r="BJ510" s="196">
        <f t="shared" ref="BJ510" si="5591">IF(BJ511=0,0,BI510+1)</f>
        <v>103</v>
      </c>
      <c r="BK510" s="196">
        <f t="shared" ref="BK510" si="5592">IF(BK511=0,0,BJ510+1)</f>
        <v>104</v>
      </c>
    </row>
    <row r="511" spans="1:63" ht="7.8" x14ac:dyDescent="0.15">
      <c r="A511" s="216" t="s">
        <v>178</v>
      </c>
      <c r="B511" s="192"/>
      <c r="C511" s="192"/>
      <c r="D511" s="192"/>
      <c r="E511" s="192"/>
      <c r="F511" s="192"/>
      <c r="G511" s="192"/>
      <c r="H511" s="192"/>
      <c r="I511" s="192"/>
      <c r="J511" s="192"/>
      <c r="K511" s="192"/>
      <c r="L511" s="192"/>
      <c r="M511" s="192"/>
      <c r="N511" s="192"/>
      <c r="O511" s="192"/>
      <c r="P511" s="192"/>
      <c r="Q511" s="192"/>
      <c r="R511" s="192"/>
      <c r="S511" s="192"/>
      <c r="T511" s="192"/>
      <c r="U511" s="192"/>
      <c r="V511" s="192"/>
      <c r="W511" s="192"/>
      <c r="X511" s="192"/>
      <c r="Y511" s="192"/>
      <c r="Z511" s="192"/>
      <c r="AA511" s="192"/>
      <c r="AB511" s="192"/>
      <c r="AC511" s="192"/>
      <c r="AD511" s="192"/>
      <c r="AE511" s="192"/>
      <c r="AF511" s="192"/>
      <c r="AG511" s="192"/>
      <c r="AH511" s="192"/>
      <c r="AI511" s="192"/>
      <c r="AJ511" s="192"/>
      <c r="AK511" s="192"/>
      <c r="AL511" s="192"/>
      <c r="AM511" s="192"/>
      <c r="AN511" s="192"/>
      <c r="AO511" s="192"/>
      <c r="AP511" s="192"/>
      <c r="AQ511" s="192"/>
      <c r="AR511" s="192"/>
      <c r="AS511" s="192"/>
      <c r="AT511" s="192"/>
      <c r="AU511" s="192"/>
      <c r="AV511" s="192"/>
      <c r="AW511" s="192"/>
      <c r="AX511" s="192"/>
      <c r="AY511" s="192"/>
      <c r="AZ511" s="192"/>
      <c r="BA511" s="192"/>
      <c r="BB511" s="192"/>
      <c r="BC511" s="192"/>
      <c r="BD511" s="192"/>
      <c r="BE511" s="192"/>
      <c r="BF511" s="192"/>
      <c r="BG511" s="192"/>
      <c r="BH511" s="217">
        <f>LoanSize</f>
        <v>25</v>
      </c>
      <c r="BI511" s="215">
        <f>IF(BH511-BH514&lt;=0.1,0,BH511-BH514)</f>
        <v>23.79027212253634</v>
      </c>
      <c r="BJ511" s="215">
        <f t="shared" ref="BJ511:BK511" si="5593">IF(BI511-BI514&lt;=0.1,0,BI511-BI514)</f>
        <v>22.56189427362845</v>
      </c>
      <c r="BK511" s="215">
        <f t="shared" si="5593"/>
        <v>21.314578932883229</v>
      </c>
    </row>
    <row r="512" spans="1:63" ht="7.8" x14ac:dyDescent="0.15">
      <c r="A512" s="218" t="s">
        <v>179</v>
      </c>
      <c r="B512" s="192"/>
      <c r="C512" s="192"/>
      <c r="D512" s="192"/>
      <c r="E512" s="192"/>
      <c r="F512" s="192"/>
      <c r="G512" s="192"/>
      <c r="H512" s="192"/>
      <c r="I512" s="192"/>
      <c r="J512" s="192"/>
      <c r="K512" s="192"/>
      <c r="L512" s="192"/>
      <c r="M512" s="192"/>
      <c r="N512" s="192"/>
      <c r="O512" s="192"/>
      <c r="P512" s="192"/>
      <c r="Q512" s="192"/>
      <c r="R512" s="192"/>
      <c r="S512" s="192"/>
      <c r="T512" s="192"/>
      <c r="U512" s="192"/>
      <c r="V512" s="192"/>
      <c r="W512" s="192"/>
      <c r="X512" s="192"/>
      <c r="Y512" s="192"/>
      <c r="Z512" s="192"/>
      <c r="AA512" s="192"/>
      <c r="AB512" s="192"/>
      <c r="AC512" s="192"/>
      <c r="AD512" s="192"/>
      <c r="AE512" s="192"/>
      <c r="AF512" s="192"/>
      <c r="AG512" s="192"/>
      <c r="AH512" s="192"/>
      <c r="AI512" s="192"/>
      <c r="AJ512" s="192"/>
      <c r="AK512" s="192"/>
      <c r="AL512" s="192"/>
      <c r="AM512" s="192"/>
      <c r="AN512" s="192"/>
      <c r="AO512" s="192"/>
      <c r="AP512" s="192"/>
      <c r="AQ512" s="192"/>
      <c r="AR512" s="192"/>
      <c r="AS512" s="192"/>
      <c r="AT512" s="192"/>
      <c r="AU512" s="192"/>
      <c r="AV512" s="192"/>
      <c r="AW512" s="192"/>
      <c r="AX512" s="192"/>
      <c r="AY512" s="192"/>
      <c r="AZ512" s="192"/>
      <c r="BA512" s="192"/>
      <c r="BB512" s="192"/>
      <c r="BC512" s="192"/>
      <c r="BD512" s="192"/>
      <c r="BE512" s="192"/>
      <c r="BF512" s="192"/>
      <c r="BG512" s="192"/>
      <c r="BH512" s="219">
        <f>IF(BH511=0,0,PMT(INDEX(LoanCohortRate,1),LoanTerm, -LoanSize))</f>
        <v>1.5951445441303251</v>
      </c>
      <c r="BI512" s="222">
        <f t="shared" ref="BI512" si="5594">IF(BI511=0,0, BH512)</f>
        <v>1.5951445441303251</v>
      </c>
      <c r="BJ512" s="222">
        <f t="shared" ref="BJ512" si="5595">IF(BJ511=0,0, BI512)</f>
        <v>1.5951445441303251</v>
      </c>
      <c r="BK512" s="222">
        <f t="shared" ref="BK512" si="5596">IF(BK511=0,0, BJ512)</f>
        <v>1.5951445441303251</v>
      </c>
    </row>
    <row r="513" spans="1:63" ht="7.8" x14ac:dyDescent="0.15">
      <c r="A513" s="218" t="s">
        <v>180</v>
      </c>
      <c r="B513" s="192"/>
      <c r="C513" s="192"/>
      <c r="D513" s="192"/>
      <c r="E513" s="192"/>
      <c r="F513" s="192"/>
      <c r="G513" s="192"/>
      <c r="H513" s="192"/>
      <c r="I513" s="192"/>
      <c r="J513" s="192"/>
      <c r="K513" s="192"/>
      <c r="L513" s="192"/>
      <c r="M513" s="192"/>
      <c r="N513" s="192"/>
      <c r="O513" s="192"/>
      <c r="P513" s="192"/>
      <c r="Q513" s="192"/>
      <c r="R513" s="192"/>
      <c r="S513" s="192"/>
      <c r="T513" s="192"/>
      <c r="U513" s="192"/>
      <c r="V513" s="192"/>
      <c r="W513" s="192"/>
      <c r="X513" s="192"/>
      <c r="Y513" s="192"/>
      <c r="Z513" s="192"/>
      <c r="AA513" s="192"/>
      <c r="AB513" s="192"/>
      <c r="AC513" s="192"/>
      <c r="AD513" s="192"/>
      <c r="AE513" s="192"/>
      <c r="AF513" s="192"/>
      <c r="AG513" s="192"/>
      <c r="AH513" s="192"/>
      <c r="AI513" s="192"/>
      <c r="AJ513" s="192"/>
      <c r="AK513" s="192"/>
      <c r="AL513" s="192"/>
      <c r="AM513" s="192"/>
      <c r="AN513" s="192"/>
      <c r="AO513" s="192"/>
      <c r="AP513" s="192"/>
      <c r="AQ513" s="192"/>
      <c r="AR513" s="192"/>
      <c r="AS513" s="192"/>
      <c r="AT513" s="192"/>
      <c r="AU513" s="192"/>
      <c r="AV513" s="192"/>
      <c r="AW513" s="192"/>
      <c r="AX513" s="192"/>
      <c r="AY513" s="192"/>
      <c r="AZ513" s="192"/>
      <c r="BA513" s="192"/>
      <c r="BB513" s="192"/>
      <c r="BC513" s="192"/>
      <c r="BD513" s="192"/>
      <c r="BE513" s="192"/>
      <c r="BF513" s="192"/>
      <c r="BG513" s="192"/>
      <c r="BH513" s="220" cm="1">
        <f t="array" ref="BH513">BH511*INDEX(LoanCohortRate,$A510)</f>
        <v>0.38541666666666669</v>
      </c>
      <c r="BI513" s="221" cm="1">
        <f t="array" ref="BI513">BI511*INDEX(LoanCohortRate,$A510)</f>
        <v>0.36676669522243527</v>
      </c>
      <c r="BJ513" s="221" cm="1">
        <f t="array" ref="BJ513">BJ511*INDEX(LoanCohortRate,$A510)</f>
        <v>0.34782920338510526</v>
      </c>
      <c r="BK513" s="221" cm="1">
        <f t="array" ref="BK513">BK511*INDEX(LoanCohortRate,$A510)</f>
        <v>0.32859975854861645</v>
      </c>
    </row>
    <row r="514" spans="1:63" ht="7.8" x14ac:dyDescent="0.15">
      <c r="A514" s="218" t="s">
        <v>177</v>
      </c>
      <c r="B514" s="192"/>
      <c r="C514" s="192"/>
      <c r="D514" s="192"/>
      <c r="E514" s="192"/>
      <c r="F514" s="192"/>
      <c r="G514" s="192"/>
      <c r="H514" s="192"/>
      <c r="I514" s="192"/>
      <c r="J514" s="192"/>
      <c r="K514" s="192"/>
      <c r="L514" s="192"/>
      <c r="M514" s="192"/>
      <c r="N514" s="192"/>
      <c r="O514" s="192"/>
      <c r="P514" s="192"/>
      <c r="Q514" s="192"/>
      <c r="R514" s="192"/>
      <c r="S514" s="192"/>
      <c r="T514" s="192"/>
      <c r="U514" s="192"/>
      <c r="V514" s="192"/>
      <c r="W514" s="192"/>
      <c r="X514" s="192"/>
      <c r="Y514" s="192"/>
      <c r="Z514" s="192"/>
      <c r="AA514" s="192"/>
      <c r="AB514" s="192"/>
      <c r="AC514" s="192"/>
      <c r="AD514" s="192"/>
      <c r="AE514" s="192"/>
      <c r="AF514" s="192"/>
      <c r="AG514" s="192"/>
      <c r="AH514" s="192"/>
      <c r="AI514" s="192"/>
      <c r="AJ514" s="192"/>
      <c r="AK514" s="192"/>
      <c r="AL514" s="192"/>
      <c r="AM514" s="192"/>
      <c r="AN514" s="192"/>
      <c r="AO514" s="192"/>
      <c r="AP514" s="192"/>
      <c r="AQ514" s="192"/>
      <c r="AR514" s="192"/>
      <c r="AS514" s="192"/>
      <c r="AT514" s="192"/>
      <c r="AU514" s="192"/>
      <c r="AV514" s="192"/>
      <c r="AW514" s="192"/>
      <c r="AX514" s="192"/>
      <c r="AY514" s="192"/>
      <c r="AZ514" s="192"/>
      <c r="BA514" s="192"/>
      <c r="BB514" s="192"/>
      <c r="BC514" s="192"/>
      <c r="BD514" s="192"/>
      <c r="BE514" s="192"/>
      <c r="BF514" s="192"/>
      <c r="BG514" s="192"/>
      <c r="BH514" s="219">
        <f>BH512-BH513</f>
        <v>1.2097278774636584</v>
      </c>
      <c r="BI514" s="222">
        <f t="shared" ref="BI514:BK514" si="5597">BI512-BI513</f>
        <v>1.2283778489078898</v>
      </c>
      <c r="BJ514" s="222">
        <f t="shared" si="5597"/>
        <v>1.24731534074522</v>
      </c>
      <c r="BK514" s="222">
        <f t="shared" si="5597"/>
        <v>1.2665447855817087</v>
      </c>
    </row>
    <row r="515" spans="1:63" ht="7.8" x14ac:dyDescent="0.15">
      <c r="A515" s="205" t="s">
        <v>7</v>
      </c>
      <c r="B515" s="192"/>
      <c r="C515" s="192"/>
      <c r="D515" s="192"/>
      <c r="E515" s="192"/>
      <c r="F515" s="192"/>
      <c r="G515" s="192"/>
      <c r="H515" s="192"/>
      <c r="I515" s="192"/>
      <c r="J515" s="192"/>
      <c r="K515" s="192"/>
      <c r="L515" s="192"/>
      <c r="M515" s="192"/>
      <c r="N515" s="192"/>
      <c r="O515" s="192"/>
      <c r="P515" s="192"/>
      <c r="Q515" s="192"/>
      <c r="R515" s="192"/>
      <c r="S515" s="192"/>
      <c r="T515" s="192"/>
      <c r="U515" s="192"/>
      <c r="V515" s="192"/>
      <c r="W515" s="192"/>
      <c r="X515" s="192"/>
      <c r="Y515" s="192"/>
      <c r="Z515" s="192"/>
      <c r="AA515" s="192"/>
      <c r="AB515" s="192"/>
      <c r="AC515" s="192"/>
      <c r="AD515" s="192"/>
      <c r="AE515" s="192"/>
      <c r="AF515" s="192"/>
      <c r="AG515" s="192"/>
      <c r="AH515" s="192"/>
      <c r="AI515" s="192"/>
      <c r="AJ515" s="192"/>
      <c r="AK515" s="192"/>
      <c r="AL515" s="192"/>
      <c r="AM515" s="192"/>
      <c r="AN515" s="192"/>
      <c r="AO515" s="192"/>
      <c r="AP515" s="192"/>
      <c r="AQ515" s="192"/>
      <c r="AR515" s="192"/>
      <c r="AS515" s="192"/>
      <c r="AT515" s="192"/>
      <c r="AU515" s="192"/>
      <c r="AV515" s="192"/>
      <c r="AW515" s="192"/>
      <c r="AX515" s="192"/>
      <c r="AY515" s="192"/>
      <c r="AZ515" s="192"/>
      <c r="BA515" s="192"/>
      <c r="BB515" s="192"/>
      <c r="BC515" s="192"/>
      <c r="BD515" s="192"/>
      <c r="BE515" s="192"/>
      <c r="BF515" s="192"/>
      <c r="BG515" s="192"/>
      <c r="BH515" s="214" cm="1">
        <f t="array" ref="BH515">INDEX(LoanOriginations,$A510)</f>
        <v>132.22070191828834</v>
      </c>
      <c r="BI515" s="199">
        <f>BH515*(1-MitigateDelinquency*MitigateChargeoff)  *  IF(BI510=0,0,IF(BI510-102=LoanSaleHeld,0.6,1))</f>
        <v>132.08848121637004</v>
      </c>
      <c r="BJ515" s="199">
        <f>BI515*(1-MitigateDelinquency*MitigateChargeoff)  *  IF(BJ510=0,0,IF(BJ510-102=LoanSaleHeld,0.6,1))</f>
        <v>131.95639273515368</v>
      </c>
      <c r="BK515" s="199">
        <f>BJ515*(1-MitigateDelinquency*MitigateChargeoff)  *  IF(BK510=0,0,IF(BK510-102=LoanSaleHeld,0.6,1))</f>
        <v>131.82443634241852</v>
      </c>
    </row>
    <row r="516" spans="1:63" ht="7.8" x14ac:dyDescent="0.15">
      <c r="A516" s="207" t="s">
        <v>96</v>
      </c>
      <c r="B516" s="192"/>
      <c r="C516" s="192"/>
      <c r="D516" s="192"/>
      <c r="E516" s="192"/>
      <c r="F516" s="192"/>
      <c r="G516" s="192"/>
      <c r="H516" s="192"/>
      <c r="I516" s="192"/>
      <c r="J516" s="192"/>
      <c r="K516" s="192"/>
      <c r="L516" s="192"/>
      <c r="M516" s="192"/>
      <c r="N516" s="192"/>
      <c r="O516" s="192"/>
      <c r="P516" s="192"/>
      <c r="Q516" s="192"/>
      <c r="R516" s="192"/>
      <c r="S516" s="192"/>
      <c r="T516" s="192"/>
      <c r="U516" s="192"/>
      <c r="V516" s="192"/>
      <c r="W516" s="192"/>
      <c r="X516" s="192"/>
      <c r="Y516" s="192"/>
      <c r="Z516" s="192"/>
      <c r="AA516" s="192"/>
      <c r="AB516" s="192"/>
      <c r="AC516" s="192"/>
      <c r="AD516" s="192"/>
      <c r="AE516" s="192"/>
      <c r="AF516" s="192"/>
      <c r="AG516" s="192"/>
      <c r="AH516" s="192"/>
      <c r="AI516" s="192"/>
      <c r="AJ516" s="192"/>
      <c r="AK516" s="192"/>
      <c r="AL516" s="192"/>
      <c r="AM516" s="192"/>
      <c r="AN516" s="192"/>
      <c r="AO516" s="192"/>
      <c r="AP516" s="192"/>
      <c r="AQ516" s="192"/>
      <c r="AR516" s="192"/>
      <c r="AS516" s="192"/>
      <c r="AT516" s="192"/>
      <c r="AU516" s="192"/>
      <c r="AV516" s="192"/>
      <c r="AW516" s="192"/>
      <c r="AX516" s="192"/>
      <c r="AY516" s="192"/>
      <c r="AZ516" s="192"/>
      <c r="BA516" s="192"/>
      <c r="BB516" s="192"/>
      <c r="BC516" s="192"/>
      <c r="BD516" s="192"/>
      <c r="BE516" s="192"/>
      <c r="BF516" s="192"/>
      <c r="BG516" s="192"/>
      <c r="BH516" s="223">
        <f>BH513*BH515</f>
        <v>50.960062197673636</v>
      </c>
      <c r="BI516" s="200">
        <f t="shared" ref="BI516" si="5598">BI513*BI515</f>
        <v>48.445655732678759</v>
      </c>
      <c r="BJ516" s="200">
        <f t="shared" ref="BJ516" si="5599">BJ513*BJ515</f>
        <v>45.898286966640597</v>
      </c>
      <c r="BK516" s="200">
        <f t="shared" ref="BK516" si="5600">BK513*BK515</f>
        <v>43.317477952926183</v>
      </c>
    </row>
    <row r="517" spans="1:63" ht="7.8" x14ac:dyDescent="0.15">
      <c r="A517" s="206" t="s">
        <v>97</v>
      </c>
      <c r="B517" s="192"/>
      <c r="C517" s="192"/>
      <c r="D517" s="192"/>
      <c r="E517" s="192"/>
      <c r="F517" s="192"/>
      <c r="G517" s="192"/>
      <c r="H517" s="192"/>
      <c r="I517" s="192"/>
      <c r="J517" s="192"/>
      <c r="K517" s="192"/>
      <c r="L517" s="192"/>
      <c r="M517" s="192"/>
      <c r="N517" s="192"/>
      <c r="O517" s="192"/>
      <c r="P517" s="192"/>
      <c r="Q517" s="192"/>
      <c r="R517" s="192"/>
      <c r="S517" s="192"/>
      <c r="T517" s="192"/>
      <c r="U517" s="192"/>
      <c r="V517" s="192"/>
      <c r="W517" s="192"/>
      <c r="X517" s="192"/>
      <c r="Y517" s="192"/>
      <c r="Z517" s="192"/>
      <c r="AA517" s="192"/>
      <c r="AB517" s="192"/>
      <c r="AC517" s="192"/>
      <c r="AD517" s="192"/>
      <c r="AE517" s="192"/>
      <c r="AF517" s="192"/>
      <c r="AG517" s="192"/>
      <c r="AH517" s="192"/>
      <c r="AI517" s="192"/>
      <c r="AJ517" s="192"/>
      <c r="AK517" s="192"/>
      <c r="AL517" s="192"/>
      <c r="AM517" s="192"/>
      <c r="AN517" s="192"/>
      <c r="AO517" s="192"/>
      <c r="AP517" s="192"/>
      <c r="AQ517" s="192"/>
      <c r="AR517" s="192"/>
      <c r="AS517" s="192"/>
      <c r="AT517" s="192"/>
      <c r="AU517" s="192"/>
      <c r="AV517" s="192"/>
      <c r="AW517" s="192"/>
      <c r="AX517" s="192"/>
      <c r="AY517" s="192"/>
      <c r="AZ517" s="192"/>
      <c r="BA517" s="192"/>
      <c r="BB517" s="192"/>
      <c r="BC517" s="192"/>
      <c r="BD517" s="192"/>
      <c r="BE517" s="192"/>
      <c r="BF517" s="192"/>
      <c r="BG517" s="192"/>
      <c r="BH517" s="223">
        <f>BH514*BH515</f>
        <v>159.95106908836601</v>
      </c>
      <c r="BI517" s="200">
        <f>BI514*BI515</f>
        <v>162.25456442207485</v>
      </c>
      <c r="BJ517" s="200">
        <f t="shared" ref="BJ517:BK517" si="5601">BJ514*BJ515</f>
        <v>164.59123296795829</v>
      </c>
      <c r="BK517" s="200">
        <f t="shared" si="5601"/>
        <v>166.96155246173808</v>
      </c>
    </row>
    <row r="518" spans="1:63" ht="7.8" x14ac:dyDescent="0.15">
      <c r="A518" s="208" t="s">
        <v>203</v>
      </c>
      <c r="B518" s="192"/>
      <c r="C518" s="192"/>
      <c r="D518" s="192"/>
      <c r="E518" s="192"/>
      <c r="F518" s="192"/>
      <c r="G518" s="192"/>
      <c r="H518" s="192"/>
      <c r="I518" s="192"/>
      <c r="J518" s="192"/>
      <c r="K518" s="192"/>
      <c r="L518" s="192"/>
      <c r="M518" s="192"/>
      <c r="N518" s="192"/>
      <c r="O518" s="192"/>
      <c r="P518" s="192"/>
      <c r="Q518" s="192"/>
      <c r="R518" s="192"/>
      <c r="S518" s="192"/>
      <c r="T518" s="192"/>
      <c r="U518" s="192"/>
      <c r="V518" s="192"/>
      <c r="W518" s="192"/>
      <c r="X518" s="192"/>
      <c r="Y518" s="192"/>
      <c r="Z518" s="192"/>
      <c r="AA518" s="192"/>
      <c r="AB518" s="192"/>
      <c r="AC518" s="192"/>
      <c r="AD518" s="192"/>
      <c r="AE518" s="192"/>
      <c r="AF518" s="192"/>
      <c r="AG518" s="192"/>
      <c r="AH518" s="192"/>
      <c r="AI518" s="192"/>
      <c r="AJ518" s="192"/>
      <c r="AK518" s="192"/>
      <c r="AL518" s="192"/>
      <c r="AM518" s="192"/>
      <c r="AN518" s="192"/>
      <c r="AO518" s="192"/>
      <c r="AP518" s="192"/>
      <c r="AQ518" s="192"/>
      <c r="AR518" s="192"/>
      <c r="AS518" s="192"/>
      <c r="AT518" s="192"/>
      <c r="AU518" s="192"/>
      <c r="AV518" s="192"/>
      <c r="AW518" s="192"/>
      <c r="AX518" s="192"/>
      <c r="AY518" s="192"/>
      <c r="AZ518" s="192"/>
      <c r="BA518" s="192"/>
      <c r="BB518" s="192"/>
      <c r="BC518" s="192"/>
      <c r="BD518" s="192"/>
      <c r="BE518" s="192"/>
      <c r="BF518" s="192"/>
      <c r="BG518" s="192"/>
      <c r="BH518" s="224">
        <f>IF(BH510-101&lt;&gt;LoanSaleHeld,0,SUM($D517:BH517)*LoanSalePercent)</f>
        <v>0</v>
      </c>
      <c r="BI518" s="225">
        <f>IF(BI510-101&lt;&gt;LoanSaleHeld,0,SUM($D517:BI517)*LoanSalePercent)</f>
        <v>0</v>
      </c>
      <c r="BJ518" s="225">
        <f>IF(BJ510-101&lt;&gt;LoanSaleHeld,0,SUM($D517:BJ517)*LoanSalePercent)</f>
        <v>0</v>
      </c>
      <c r="BK518" s="225">
        <f>IF(BK510-101&lt;&gt;LoanSaleHeld,0,SUM($D517:BK517)*LoanSalePercent)</f>
        <v>261.50336757605487</v>
      </c>
    </row>
    <row r="519" spans="1:63" ht="7.8" x14ac:dyDescent="0.15">
      <c r="A519" s="204">
        <f t="shared" ref="A519" si="5602">A510+1</f>
        <v>58</v>
      </c>
      <c r="B519" s="192"/>
      <c r="C519" s="192"/>
      <c r="D519" s="192"/>
      <c r="E519" s="192"/>
      <c r="F519" s="192"/>
      <c r="G519" s="192"/>
      <c r="H519" s="192"/>
      <c r="I519" s="192"/>
      <c r="J519" s="192"/>
      <c r="K519" s="192"/>
      <c r="L519" s="192"/>
      <c r="M519" s="192"/>
      <c r="N519" s="192"/>
      <c r="O519" s="192"/>
      <c r="P519" s="192"/>
      <c r="Q519" s="192"/>
      <c r="R519" s="192"/>
      <c r="S519" s="192"/>
      <c r="T519" s="192"/>
      <c r="U519" s="192"/>
      <c r="V519" s="192"/>
      <c r="W519" s="192"/>
      <c r="X519" s="192"/>
      <c r="Y519" s="192"/>
      <c r="Z519" s="192"/>
      <c r="AA519" s="192"/>
      <c r="AB519" s="192"/>
      <c r="AC519" s="192"/>
      <c r="AD519" s="192"/>
      <c r="AE519" s="192"/>
      <c r="AF519" s="192"/>
      <c r="AG519" s="192"/>
      <c r="AH519" s="192"/>
      <c r="AI519" s="192"/>
      <c r="AJ519" s="192"/>
      <c r="AK519" s="192"/>
      <c r="AL519" s="192"/>
      <c r="AM519" s="192"/>
      <c r="AN519" s="192"/>
      <c r="AO519" s="192"/>
      <c r="AP519" s="192"/>
      <c r="AQ519" s="192"/>
      <c r="AR519" s="192"/>
      <c r="AS519" s="192"/>
      <c r="AT519" s="192"/>
      <c r="AU519" s="192"/>
      <c r="AV519" s="192"/>
      <c r="AW519" s="192"/>
      <c r="AX519" s="192"/>
      <c r="AY519" s="192"/>
      <c r="AZ519" s="192"/>
      <c r="BA519" s="192"/>
      <c r="BB519" s="192"/>
      <c r="BC519" s="192"/>
      <c r="BD519" s="192"/>
      <c r="BE519" s="192"/>
      <c r="BF519" s="192"/>
      <c r="BG519" s="192"/>
      <c r="BH519" s="192"/>
      <c r="BI519" s="195">
        <v>101</v>
      </c>
      <c r="BJ519" s="196">
        <f t="shared" ref="BJ519" si="5603">IF(BJ520=0,0,BI519+1)</f>
        <v>102</v>
      </c>
      <c r="BK519" s="196">
        <f t="shared" ref="BK519" si="5604">IF(BK520=0,0,BJ519+1)</f>
        <v>103</v>
      </c>
    </row>
    <row r="520" spans="1:63" ht="7.8" x14ac:dyDescent="0.15">
      <c r="A520" s="216" t="s">
        <v>178</v>
      </c>
      <c r="B520" s="192"/>
      <c r="C520" s="192"/>
      <c r="D520" s="192"/>
      <c r="E520" s="192"/>
      <c r="F520" s="192"/>
      <c r="G520" s="192"/>
      <c r="H520" s="192"/>
      <c r="I520" s="192"/>
      <c r="J520" s="192"/>
      <c r="K520" s="192"/>
      <c r="L520" s="192"/>
      <c r="M520" s="192"/>
      <c r="N520" s="192"/>
      <c r="O520" s="192"/>
      <c r="P520" s="192"/>
      <c r="Q520" s="192"/>
      <c r="R520" s="192"/>
      <c r="S520" s="192"/>
      <c r="T520" s="192"/>
      <c r="U520" s="192"/>
      <c r="V520" s="192"/>
      <c r="W520" s="192"/>
      <c r="X520" s="192"/>
      <c r="Y520" s="192"/>
      <c r="Z520" s="192"/>
      <c r="AA520" s="192"/>
      <c r="AB520" s="192"/>
      <c r="AC520" s="192"/>
      <c r="AD520" s="192"/>
      <c r="AE520" s="192"/>
      <c r="AF520" s="192"/>
      <c r="AG520" s="192"/>
      <c r="AH520" s="192"/>
      <c r="AI520" s="192"/>
      <c r="AJ520" s="192"/>
      <c r="AK520" s="192"/>
      <c r="AL520" s="192"/>
      <c r="AM520" s="192"/>
      <c r="AN520" s="192"/>
      <c r="AO520" s="192"/>
      <c r="AP520" s="192"/>
      <c r="AQ520" s="192"/>
      <c r="AR520" s="192"/>
      <c r="AS520" s="192"/>
      <c r="AT520" s="192"/>
      <c r="AU520" s="192"/>
      <c r="AV520" s="192"/>
      <c r="AW520" s="192"/>
      <c r="AX520" s="192"/>
      <c r="AY520" s="192"/>
      <c r="AZ520" s="192"/>
      <c r="BA520" s="192"/>
      <c r="BB520" s="192"/>
      <c r="BC520" s="192"/>
      <c r="BD520" s="192"/>
      <c r="BE520" s="192"/>
      <c r="BF520" s="192"/>
      <c r="BG520" s="192"/>
      <c r="BH520" s="192"/>
      <c r="BI520" s="217">
        <f>LoanSize</f>
        <v>25</v>
      </c>
      <c r="BJ520" s="215">
        <f>IF(BI520-BI523&lt;=0.1,0,BI520-BI523)</f>
        <v>23.79027212253634</v>
      </c>
      <c r="BK520" s="215">
        <f t="shared" ref="BK520" si="5605">IF(BJ520-BJ523&lt;=0.1,0,BJ520-BJ523)</f>
        <v>22.56189427362845</v>
      </c>
    </row>
    <row r="521" spans="1:63" ht="7.8" x14ac:dyDescent="0.15">
      <c r="A521" s="218" t="s">
        <v>179</v>
      </c>
      <c r="B521" s="192"/>
      <c r="C521" s="192"/>
      <c r="D521" s="192"/>
      <c r="E521" s="192"/>
      <c r="F521" s="192"/>
      <c r="G521" s="192"/>
      <c r="H521" s="192"/>
      <c r="I521" s="192"/>
      <c r="J521" s="192"/>
      <c r="K521" s="192"/>
      <c r="L521" s="192"/>
      <c r="M521" s="192"/>
      <c r="N521" s="192"/>
      <c r="O521" s="192"/>
      <c r="P521" s="192"/>
      <c r="Q521" s="192"/>
      <c r="R521" s="192"/>
      <c r="S521" s="192"/>
      <c r="T521" s="192"/>
      <c r="U521" s="192"/>
      <c r="V521" s="192"/>
      <c r="W521" s="192"/>
      <c r="X521" s="192"/>
      <c r="Y521" s="192"/>
      <c r="Z521" s="192"/>
      <c r="AA521" s="192"/>
      <c r="AB521" s="192"/>
      <c r="AC521" s="192"/>
      <c r="AD521" s="192"/>
      <c r="AE521" s="192"/>
      <c r="AF521" s="192"/>
      <c r="AG521" s="192"/>
      <c r="AH521" s="192"/>
      <c r="AI521" s="192"/>
      <c r="AJ521" s="192"/>
      <c r="AK521" s="192"/>
      <c r="AL521" s="192"/>
      <c r="AM521" s="192"/>
      <c r="AN521" s="192"/>
      <c r="AO521" s="192"/>
      <c r="AP521" s="192"/>
      <c r="AQ521" s="192"/>
      <c r="AR521" s="192"/>
      <c r="AS521" s="192"/>
      <c r="AT521" s="192"/>
      <c r="AU521" s="192"/>
      <c r="AV521" s="192"/>
      <c r="AW521" s="192"/>
      <c r="AX521" s="192"/>
      <c r="AY521" s="192"/>
      <c r="AZ521" s="192"/>
      <c r="BA521" s="192"/>
      <c r="BB521" s="192"/>
      <c r="BC521" s="192"/>
      <c r="BD521" s="192"/>
      <c r="BE521" s="192"/>
      <c r="BF521" s="192"/>
      <c r="BG521" s="192"/>
      <c r="BH521" s="192"/>
      <c r="BI521" s="219">
        <f>IF(BI520=0,0,PMT(INDEX(LoanCohortRate,1),LoanTerm, -LoanSize))</f>
        <v>1.5951445441303251</v>
      </c>
      <c r="BJ521" s="222">
        <f t="shared" ref="BJ521" si="5606">IF(BJ520=0,0, BI521)</f>
        <v>1.5951445441303251</v>
      </c>
      <c r="BK521" s="222">
        <f t="shared" ref="BK521" si="5607">IF(BK520=0,0, BJ521)</f>
        <v>1.5951445441303251</v>
      </c>
    </row>
    <row r="522" spans="1:63" ht="7.8" x14ac:dyDescent="0.15">
      <c r="A522" s="218" t="s">
        <v>180</v>
      </c>
      <c r="B522" s="192"/>
      <c r="C522" s="192"/>
      <c r="D522" s="192"/>
      <c r="E522" s="192"/>
      <c r="F522" s="192"/>
      <c r="G522" s="192"/>
      <c r="H522" s="192"/>
      <c r="I522" s="192"/>
      <c r="J522" s="192"/>
      <c r="K522" s="192"/>
      <c r="L522" s="192"/>
      <c r="M522" s="192"/>
      <c r="N522" s="192"/>
      <c r="O522" s="192"/>
      <c r="P522" s="192"/>
      <c r="Q522" s="192"/>
      <c r="R522" s="192"/>
      <c r="S522" s="192"/>
      <c r="T522" s="192"/>
      <c r="U522" s="192"/>
      <c r="V522" s="192"/>
      <c r="W522" s="192"/>
      <c r="X522" s="192"/>
      <c r="Y522" s="192"/>
      <c r="Z522" s="192"/>
      <c r="AA522" s="192"/>
      <c r="AB522" s="192"/>
      <c r="AC522" s="192"/>
      <c r="AD522" s="192"/>
      <c r="AE522" s="192"/>
      <c r="AF522" s="192"/>
      <c r="AG522" s="192"/>
      <c r="AH522" s="192"/>
      <c r="AI522" s="192"/>
      <c r="AJ522" s="192"/>
      <c r="AK522" s="192"/>
      <c r="AL522" s="192"/>
      <c r="AM522" s="192"/>
      <c r="AN522" s="192"/>
      <c r="AO522" s="192"/>
      <c r="AP522" s="192"/>
      <c r="AQ522" s="192"/>
      <c r="AR522" s="192"/>
      <c r="AS522" s="192"/>
      <c r="AT522" s="192"/>
      <c r="AU522" s="192"/>
      <c r="AV522" s="192"/>
      <c r="AW522" s="192"/>
      <c r="AX522" s="192"/>
      <c r="AY522" s="192"/>
      <c r="AZ522" s="192"/>
      <c r="BA522" s="192"/>
      <c r="BB522" s="192"/>
      <c r="BC522" s="192"/>
      <c r="BD522" s="192"/>
      <c r="BE522" s="192"/>
      <c r="BF522" s="192"/>
      <c r="BG522" s="192"/>
      <c r="BH522" s="192"/>
      <c r="BI522" s="220" cm="1">
        <f t="array" ref="BI522">BI520*INDEX(LoanCohortRate,$A519)</f>
        <v>0.38541666666666669</v>
      </c>
      <c r="BJ522" s="221" cm="1">
        <f t="array" ref="BJ522">BJ520*INDEX(LoanCohortRate,$A519)</f>
        <v>0.36676669522243527</v>
      </c>
      <c r="BK522" s="221" cm="1">
        <f t="array" ref="BK522">BK520*INDEX(LoanCohortRate,$A519)</f>
        <v>0.34782920338510526</v>
      </c>
    </row>
    <row r="523" spans="1:63" ht="7.8" x14ac:dyDescent="0.15">
      <c r="A523" s="218" t="s">
        <v>177</v>
      </c>
      <c r="B523" s="192"/>
      <c r="C523" s="192"/>
      <c r="D523" s="192"/>
      <c r="E523" s="192"/>
      <c r="F523" s="192"/>
      <c r="G523" s="192"/>
      <c r="H523" s="192"/>
      <c r="I523" s="192"/>
      <c r="J523" s="192"/>
      <c r="K523" s="192"/>
      <c r="L523" s="192"/>
      <c r="M523" s="192"/>
      <c r="N523" s="192"/>
      <c r="O523" s="192"/>
      <c r="P523" s="192"/>
      <c r="Q523" s="192"/>
      <c r="R523" s="192"/>
      <c r="S523" s="192"/>
      <c r="T523" s="192"/>
      <c r="U523" s="192"/>
      <c r="V523" s="192"/>
      <c r="W523" s="192"/>
      <c r="X523" s="192"/>
      <c r="Y523" s="192"/>
      <c r="Z523" s="192"/>
      <c r="AA523" s="192"/>
      <c r="AB523" s="192"/>
      <c r="AC523" s="192"/>
      <c r="AD523" s="192"/>
      <c r="AE523" s="192"/>
      <c r="AF523" s="192"/>
      <c r="AG523" s="192"/>
      <c r="AH523" s="192"/>
      <c r="AI523" s="192"/>
      <c r="AJ523" s="192"/>
      <c r="AK523" s="192"/>
      <c r="AL523" s="192"/>
      <c r="AM523" s="192"/>
      <c r="AN523" s="192"/>
      <c r="AO523" s="192"/>
      <c r="AP523" s="192"/>
      <c r="AQ523" s="192"/>
      <c r="AR523" s="192"/>
      <c r="AS523" s="192"/>
      <c r="AT523" s="192"/>
      <c r="AU523" s="192"/>
      <c r="AV523" s="192"/>
      <c r="AW523" s="192"/>
      <c r="AX523" s="192"/>
      <c r="AY523" s="192"/>
      <c r="AZ523" s="192"/>
      <c r="BA523" s="192"/>
      <c r="BB523" s="192"/>
      <c r="BC523" s="192"/>
      <c r="BD523" s="192"/>
      <c r="BE523" s="192"/>
      <c r="BF523" s="192"/>
      <c r="BG523" s="192"/>
      <c r="BH523" s="192"/>
      <c r="BI523" s="219">
        <f>BI521-BI522</f>
        <v>1.2097278774636584</v>
      </c>
      <c r="BJ523" s="222">
        <f t="shared" ref="BJ523:BK523" si="5608">BJ521-BJ522</f>
        <v>1.2283778489078898</v>
      </c>
      <c r="BK523" s="222">
        <f t="shared" si="5608"/>
        <v>1.24731534074522</v>
      </c>
    </row>
    <row r="524" spans="1:63" ht="7.8" x14ac:dyDescent="0.15">
      <c r="A524" s="205" t="s">
        <v>7</v>
      </c>
      <c r="B524" s="192"/>
      <c r="C524" s="192"/>
      <c r="D524" s="192"/>
      <c r="E524" s="192"/>
      <c r="F524" s="192"/>
      <c r="G524" s="192"/>
      <c r="H524" s="192"/>
      <c r="I524" s="192"/>
      <c r="J524" s="192"/>
      <c r="K524" s="192"/>
      <c r="L524" s="192"/>
      <c r="M524" s="192"/>
      <c r="N524" s="192"/>
      <c r="O524" s="192"/>
      <c r="P524" s="192"/>
      <c r="Q524" s="192"/>
      <c r="R524" s="192"/>
      <c r="S524" s="192"/>
      <c r="T524" s="192"/>
      <c r="U524" s="192"/>
      <c r="V524" s="192"/>
      <c r="W524" s="192"/>
      <c r="X524" s="192"/>
      <c r="Y524" s="192"/>
      <c r="Z524" s="192"/>
      <c r="AA524" s="192"/>
      <c r="AB524" s="192"/>
      <c r="AC524" s="192"/>
      <c r="AD524" s="192"/>
      <c r="AE524" s="192"/>
      <c r="AF524" s="192"/>
      <c r="AG524" s="192"/>
      <c r="AH524" s="192"/>
      <c r="AI524" s="192"/>
      <c r="AJ524" s="192"/>
      <c r="AK524" s="192"/>
      <c r="AL524" s="192"/>
      <c r="AM524" s="192"/>
      <c r="AN524" s="192"/>
      <c r="AO524" s="192"/>
      <c r="AP524" s="192"/>
      <c r="AQ524" s="192"/>
      <c r="AR524" s="192"/>
      <c r="AS524" s="192"/>
      <c r="AT524" s="192"/>
      <c r="AU524" s="192"/>
      <c r="AV524" s="192"/>
      <c r="AW524" s="192"/>
      <c r="AX524" s="192"/>
      <c r="AY524" s="192"/>
      <c r="AZ524" s="192"/>
      <c r="BA524" s="192"/>
      <c r="BB524" s="192"/>
      <c r="BC524" s="192"/>
      <c r="BD524" s="192"/>
      <c r="BE524" s="192"/>
      <c r="BF524" s="192"/>
      <c r="BG524" s="192"/>
      <c r="BH524" s="192"/>
      <c r="BI524" s="214" cm="1">
        <f t="array" ref="BI524">INDEX(LoanOriginations,$A519)</f>
        <v>132.88180542787978</v>
      </c>
      <c r="BJ524" s="199">
        <f>BI524*(1-MitigateDelinquency*MitigateChargeoff)  *  IF(BJ519=0,0,IF(BJ519-102=LoanSaleHeld,0.6,1))</f>
        <v>132.74892362245191</v>
      </c>
      <c r="BK524" s="199">
        <f>BJ524*(1-MitigateDelinquency*MitigateChargeoff)  *  IF(BK519=0,0,IF(BK519-102=LoanSaleHeld,0.6,1))</f>
        <v>132.61617469882947</v>
      </c>
    </row>
    <row r="525" spans="1:63" ht="7.8" x14ac:dyDescent="0.15">
      <c r="A525" s="207" t="s">
        <v>96</v>
      </c>
      <c r="B525" s="192"/>
      <c r="C525" s="192"/>
      <c r="D525" s="192"/>
      <c r="E525" s="192"/>
      <c r="F525" s="192"/>
      <c r="G525" s="192"/>
      <c r="H525" s="192"/>
      <c r="I525" s="192"/>
      <c r="J525" s="192"/>
      <c r="K525" s="192"/>
      <c r="L525" s="192"/>
      <c r="M525" s="192"/>
      <c r="N525" s="192"/>
      <c r="O525" s="192"/>
      <c r="P525" s="192"/>
      <c r="Q525" s="192"/>
      <c r="R525" s="192"/>
      <c r="S525" s="192"/>
      <c r="T525" s="192"/>
      <c r="U525" s="192"/>
      <c r="V525" s="192"/>
      <c r="W525" s="192"/>
      <c r="X525" s="192"/>
      <c r="Y525" s="192"/>
      <c r="Z525" s="192"/>
      <c r="AA525" s="192"/>
      <c r="AB525" s="192"/>
      <c r="AC525" s="192"/>
      <c r="AD525" s="192"/>
      <c r="AE525" s="192"/>
      <c r="AF525" s="192"/>
      <c r="AG525" s="192"/>
      <c r="AH525" s="192"/>
      <c r="AI525" s="192"/>
      <c r="AJ525" s="192"/>
      <c r="AK525" s="192"/>
      <c r="AL525" s="192"/>
      <c r="AM525" s="192"/>
      <c r="AN525" s="192"/>
      <c r="AO525" s="192"/>
      <c r="AP525" s="192"/>
      <c r="AQ525" s="192"/>
      <c r="AR525" s="192"/>
      <c r="AS525" s="192"/>
      <c r="AT525" s="192"/>
      <c r="AU525" s="192"/>
      <c r="AV525" s="192"/>
      <c r="AW525" s="192"/>
      <c r="AX525" s="192"/>
      <c r="AY525" s="192"/>
      <c r="AZ525" s="192"/>
      <c r="BA525" s="192"/>
      <c r="BB525" s="192"/>
      <c r="BC525" s="192"/>
      <c r="BD525" s="192"/>
      <c r="BE525" s="192"/>
      <c r="BF525" s="192"/>
      <c r="BG525" s="192"/>
      <c r="BH525" s="192"/>
      <c r="BI525" s="223">
        <f>BI522*BI524</f>
        <v>51.214862508662002</v>
      </c>
      <c r="BJ525" s="200">
        <f t="shared" ref="BJ525" si="5609">BJ522*BJ524</f>
        <v>48.687884011342156</v>
      </c>
      <c r="BK525" s="200">
        <f t="shared" ref="BK525" si="5610">BK522*BK524</f>
        <v>46.127778401473805</v>
      </c>
    </row>
    <row r="526" spans="1:63" ht="7.8" x14ac:dyDescent="0.15">
      <c r="A526" s="206" t="s">
        <v>97</v>
      </c>
      <c r="B526" s="192"/>
      <c r="C526" s="192"/>
      <c r="D526" s="192"/>
      <c r="E526" s="192"/>
      <c r="F526" s="192"/>
      <c r="G526" s="192"/>
      <c r="H526" s="192"/>
      <c r="I526" s="192"/>
      <c r="J526" s="192"/>
      <c r="K526" s="192"/>
      <c r="L526" s="192"/>
      <c r="M526" s="192"/>
      <c r="N526" s="192"/>
      <c r="O526" s="192"/>
      <c r="P526" s="192"/>
      <c r="Q526" s="192"/>
      <c r="R526" s="192"/>
      <c r="S526" s="192"/>
      <c r="T526" s="192"/>
      <c r="U526" s="192"/>
      <c r="V526" s="192"/>
      <c r="W526" s="192"/>
      <c r="X526" s="192"/>
      <c r="Y526" s="192"/>
      <c r="Z526" s="192"/>
      <c r="AA526" s="192"/>
      <c r="AB526" s="192"/>
      <c r="AC526" s="192"/>
      <c r="AD526" s="192"/>
      <c r="AE526" s="192"/>
      <c r="AF526" s="192"/>
      <c r="AG526" s="192"/>
      <c r="AH526" s="192"/>
      <c r="AI526" s="192"/>
      <c r="AJ526" s="192"/>
      <c r="AK526" s="192"/>
      <c r="AL526" s="192"/>
      <c r="AM526" s="192"/>
      <c r="AN526" s="192"/>
      <c r="AO526" s="192"/>
      <c r="AP526" s="192"/>
      <c r="AQ526" s="192"/>
      <c r="AR526" s="192"/>
      <c r="AS526" s="192"/>
      <c r="AT526" s="192"/>
      <c r="AU526" s="192"/>
      <c r="AV526" s="192"/>
      <c r="AW526" s="192"/>
      <c r="AX526" s="192"/>
      <c r="AY526" s="192"/>
      <c r="AZ526" s="192"/>
      <c r="BA526" s="192"/>
      <c r="BB526" s="192"/>
      <c r="BC526" s="192"/>
      <c r="BD526" s="192"/>
      <c r="BE526" s="192"/>
      <c r="BF526" s="192"/>
      <c r="BG526" s="192"/>
      <c r="BH526" s="192"/>
      <c r="BI526" s="223">
        <f>BI523*BI524</f>
        <v>160.75082443380785</v>
      </c>
      <c r="BJ526" s="200">
        <f>BJ523*BJ524</f>
        <v>163.06583724418525</v>
      </c>
      <c r="BK526" s="200">
        <f t="shared" ref="BK526" si="5611">BK523*BK524</f>
        <v>165.4141891327981</v>
      </c>
    </row>
    <row r="527" spans="1:63" ht="7.8" x14ac:dyDescent="0.15">
      <c r="A527" s="208" t="s">
        <v>203</v>
      </c>
      <c r="B527" s="192"/>
      <c r="C527" s="192"/>
      <c r="D527" s="192"/>
      <c r="E527" s="192"/>
      <c r="F527" s="192"/>
      <c r="G527" s="192"/>
      <c r="H527" s="192"/>
      <c r="I527" s="192"/>
      <c r="J527" s="192"/>
      <c r="K527" s="192"/>
      <c r="L527" s="192"/>
      <c r="M527" s="192"/>
      <c r="N527" s="192"/>
      <c r="O527" s="192"/>
      <c r="P527" s="192"/>
      <c r="Q527" s="192"/>
      <c r="R527" s="192"/>
      <c r="S527" s="192"/>
      <c r="T527" s="192"/>
      <c r="U527" s="192"/>
      <c r="V527" s="192"/>
      <c r="W527" s="192"/>
      <c r="X527" s="192"/>
      <c r="Y527" s="192"/>
      <c r="Z527" s="192"/>
      <c r="AA527" s="192"/>
      <c r="AB527" s="192"/>
      <c r="AC527" s="192"/>
      <c r="AD527" s="192"/>
      <c r="AE527" s="192"/>
      <c r="AF527" s="192"/>
      <c r="AG527" s="192"/>
      <c r="AH527" s="192"/>
      <c r="AI527" s="192"/>
      <c r="AJ527" s="192"/>
      <c r="AK527" s="192"/>
      <c r="AL527" s="192"/>
      <c r="AM527" s="192"/>
      <c r="AN527" s="192"/>
      <c r="AO527" s="192"/>
      <c r="AP527" s="192"/>
      <c r="AQ527" s="192"/>
      <c r="AR527" s="192"/>
      <c r="AS527" s="192"/>
      <c r="AT527" s="192"/>
      <c r="AU527" s="192"/>
      <c r="AV527" s="192"/>
      <c r="AW527" s="192"/>
      <c r="AX527" s="192"/>
      <c r="AY527" s="192"/>
      <c r="AZ527" s="192"/>
      <c r="BA527" s="192"/>
      <c r="BB527" s="192"/>
      <c r="BC527" s="192"/>
      <c r="BD527" s="192"/>
      <c r="BE527" s="192"/>
      <c r="BF527" s="192"/>
      <c r="BG527" s="192"/>
      <c r="BH527" s="192"/>
      <c r="BI527" s="224">
        <f>IF(BI519-101&lt;&gt;LoanSaleHeld,0,SUM($D526:BI526)*LoanSalePercent)</f>
        <v>0</v>
      </c>
      <c r="BJ527" s="225">
        <f>IF(BJ519-101&lt;&gt;LoanSaleHeld,0,SUM($D526:BJ526)*LoanSalePercent)</f>
        <v>0</v>
      </c>
      <c r="BK527" s="225">
        <f>IF(BK519-101&lt;&gt;LoanSaleHeld,0,SUM($D526:BK526)*LoanSalePercent)</f>
        <v>0</v>
      </c>
    </row>
    <row r="528" spans="1:63" ht="7.8" x14ac:dyDescent="0.15">
      <c r="A528" s="204">
        <f t="shared" ref="A528" si="5612">A519+1</f>
        <v>59</v>
      </c>
      <c r="B528" s="192"/>
      <c r="C528" s="192"/>
      <c r="D528" s="192"/>
      <c r="E528" s="192"/>
      <c r="F528" s="192"/>
      <c r="G528" s="192"/>
      <c r="H528" s="192"/>
      <c r="I528" s="192"/>
      <c r="J528" s="192"/>
      <c r="K528" s="192"/>
      <c r="L528" s="192"/>
      <c r="M528" s="192"/>
      <c r="N528" s="192"/>
      <c r="O528" s="192"/>
      <c r="P528" s="192"/>
      <c r="Q528" s="192"/>
      <c r="R528" s="192"/>
      <c r="S528" s="192"/>
      <c r="T528" s="192"/>
      <c r="U528" s="192"/>
      <c r="V528" s="192"/>
      <c r="W528" s="192"/>
      <c r="X528" s="192"/>
      <c r="Y528" s="192"/>
      <c r="Z528" s="192"/>
      <c r="AA528" s="192"/>
      <c r="AB528" s="192"/>
      <c r="AC528" s="192"/>
      <c r="AD528" s="192"/>
      <c r="AE528" s="192"/>
      <c r="AF528" s="192"/>
      <c r="AG528" s="192"/>
      <c r="AH528" s="192"/>
      <c r="AI528" s="192"/>
      <c r="AJ528" s="192"/>
      <c r="AK528" s="192"/>
      <c r="AL528" s="192"/>
      <c r="AM528" s="192"/>
      <c r="AN528" s="192"/>
      <c r="AO528" s="192"/>
      <c r="AP528" s="192"/>
      <c r="AQ528" s="192"/>
      <c r="AR528" s="192"/>
      <c r="AS528" s="192"/>
      <c r="AT528" s="192"/>
      <c r="AU528" s="192"/>
      <c r="AV528" s="192"/>
      <c r="AW528" s="192"/>
      <c r="AX528" s="192"/>
      <c r="AY528" s="192"/>
      <c r="AZ528" s="192"/>
      <c r="BA528" s="192"/>
      <c r="BB528" s="192"/>
      <c r="BC528" s="192"/>
      <c r="BD528" s="192"/>
      <c r="BE528" s="192"/>
      <c r="BF528" s="192"/>
      <c r="BG528" s="192"/>
      <c r="BH528" s="192"/>
      <c r="BI528" s="192"/>
      <c r="BJ528" s="195">
        <v>101</v>
      </c>
      <c r="BK528" s="196">
        <f t="shared" ref="BK528" si="5613">IF(BK529=0,0,BJ528+1)</f>
        <v>102</v>
      </c>
    </row>
    <row r="529" spans="1:63" ht="7.8" x14ac:dyDescent="0.15">
      <c r="A529" s="216" t="s">
        <v>178</v>
      </c>
      <c r="B529" s="192"/>
      <c r="C529" s="192"/>
      <c r="D529" s="192"/>
      <c r="E529" s="192"/>
      <c r="F529" s="192"/>
      <c r="G529" s="192"/>
      <c r="H529" s="192"/>
      <c r="I529" s="192"/>
      <c r="J529" s="192"/>
      <c r="K529" s="192"/>
      <c r="L529" s="192"/>
      <c r="M529" s="192"/>
      <c r="N529" s="192"/>
      <c r="O529" s="192"/>
      <c r="P529" s="192"/>
      <c r="Q529" s="192"/>
      <c r="R529" s="192"/>
      <c r="S529" s="192"/>
      <c r="T529" s="192"/>
      <c r="U529" s="192"/>
      <c r="V529" s="192"/>
      <c r="W529" s="192"/>
      <c r="X529" s="192"/>
      <c r="Y529" s="192"/>
      <c r="Z529" s="192"/>
      <c r="AA529" s="192"/>
      <c r="AB529" s="192"/>
      <c r="AC529" s="192"/>
      <c r="AD529" s="192"/>
      <c r="AE529" s="192"/>
      <c r="AF529" s="192"/>
      <c r="AG529" s="192"/>
      <c r="AH529" s="192"/>
      <c r="AI529" s="192"/>
      <c r="AJ529" s="192"/>
      <c r="AK529" s="192"/>
      <c r="AL529" s="192"/>
      <c r="AM529" s="192"/>
      <c r="AN529" s="192"/>
      <c r="AO529" s="192"/>
      <c r="AP529" s="192"/>
      <c r="AQ529" s="192"/>
      <c r="AR529" s="192"/>
      <c r="AS529" s="192"/>
      <c r="AT529" s="192"/>
      <c r="AU529" s="192"/>
      <c r="AV529" s="192"/>
      <c r="AW529" s="192"/>
      <c r="AX529" s="192"/>
      <c r="AY529" s="192"/>
      <c r="AZ529" s="192"/>
      <c r="BA529" s="192"/>
      <c r="BB529" s="192"/>
      <c r="BC529" s="192"/>
      <c r="BD529" s="192"/>
      <c r="BE529" s="192"/>
      <c r="BF529" s="192"/>
      <c r="BG529" s="192"/>
      <c r="BH529" s="192"/>
      <c r="BI529" s="192"/>
      <c r="BJ529" s="217">
        <f>LoanSize</f>
        <v>25</v>
      </c>
      <c r="BK529" s="215">
        <f>IF(BJ529-BJ532&lt;=0.1,0,BJ529-BJ532)</f>
        <v>23.79027212253634</v>
      </c>
    </row>
    <row r="530" spans="1:63" ht="7.8" x14ac:dyDescent="0.15">
      <c r="A530" s="218" t="s">
        <v>179</v>
      </c>
      <c r="B530" s="192"/>
      <c r="C530" s="192"/>
      <c r="D530" s="192"/>
      <c r="E530" s="192"/>
      <c r="F530" s="192"/>
      <c r="G530" s="192"/>
      <c r="H530" s="192"/>
      <c r="I530" s="192"/>
      <c r="J530" s="192"/>
      <c r="K530" s="192"/>
      <c r="L530" s="192"/>
      <c r="M530" s="192"/>
      <c r="N530" s="192"/>
      <c r="O530" s="192"/>
      <c r="P530" s="192"/>
      <c r="Q530" s="192"/>
      <c r="R530" s="192"/>
      <c r="S530" s="192"/>
      <c r="T530" s="192"/>
      <c r="U530" s="192"/>
      <c r="V530" s="192"/>
      <c r="W530" s="192"/>
      <c r="X530" s="192"/>
      <c r="Y530" s="192"/>
      <c r="Z530" s="192"/>
      <c r="AA530" s="192"/>
      <c r="AB530" s="192"/>
      <c r="AC530" s="192"/>
      <c r="AD530" s="192"/>
      <c r="AE530" s="192"/>
      <c r="AF530" s="192"/>
      <c r="AG530" s="192"/>
      <c r="AH530" s="192"/>
      <c r="AI530" s="192"/>
      <c r="AJ530" s="192"/>
      <c r="AK530" s="192"/>
      <c r="AL530" s="192"/>
      <c r="AM530" s="192"/>
      <c r="AN530" s="192"/>
      <c r="AO530" s="192"/>
      <c r="AP530" s="192"/>
      <c r="AQ530" s="192"/>
      <c r="AR530" s="192"/>
      <c r="AS530" s="192"/>
      <c r="AT530" s="192"/>
      <c r="AU530" s="192"/>
      <c r="AV530" s="192"/>
      <c r="AW530" s="192"/>
      <c r="AX530" s="192"/>
      <c r="AY530" s="192"/>
      <c r="AZ530" s="192"/>
      <c r="BA530" s="192"/>
      <c r="BB530" s="192"/>
      <c r="BC530" s="192"/>
      <c r="BD530" s="192"/>
      <c r="BE530" s="192"/>
      <c r="BF530" s="192"/>
      <c r="BG530" s="192"/>
      <c r="BH530" s="192"/>
      <c r="BI530" s="192"/>
      <c r="BJ530" s="219">
        <f>IF(BJ529=0,0,PMT(INDEX(LoanCohortRate,1),LoanTerm, -LoanSize))</f>
        <v>1.5951445441303251</v>
      </c>
      <c r="BK530" s="222">
        <f t="shared" ref="BK530" si="5614">IF(BK529=0,0, BJ530)</f>
        <v>1.5951445441303251</v>
      </c>
    </row>
    <row r="531" spans="1:63" ht="7.8" x14ac:dyDescent="0.15">
      <c r="A531" s="218" t="s">
        <v>180</v>
      </c>
      <c r="B531" s="192"/>
      <c r="C531" s="192"/>
      <c r="D531" s="192"/>
      <c r="E531" s="192"/>
      <c r="F531" s="192"/>
      <c r="G531" s="192"/>
      <c r="H531" s="192"/>
      <c r="I531" s="192"/>
      <c r="J531" s="192"/>
      <c r="K531" s="192"/>
      <c r="L531" s="192"/>
      <c r="M531" s="192"/>
      <c r="N531" s="192"/>
      <c r="O531" s="192"/>
      <c r="P531" s="192"/>
      <c r="Q531" s="192"/>
      <c r="R531" s="192"/>
      <c r="S531" s="192"/>
      <c r="T531" s="192"/>
      <c r="U531" s="192"/>
      <c r="V531" s="192"/>
      <c r="W531" s="192"/>
      <c r="X531" s="192"/>
      <c r="Y531" s="192"/>
      <c r="Z531" s="192"/>
      <c r="AA531" s="192"/>
      <c r="AB531" s="192"/>
      <c r="AC531" s="192"/>
      <c r="AD531" s="192"/>
      <c r="AE531" s="192"/>
      <c r="AF531" s="192"/>
      <c r="AG531" s="192"/>
      <c r="AH531" s="192"/>
      <c r="AI531" s="192"/>
      <c r="AJ531" s="192"/>
      <c r="AK531" s="192"/>
      <c r="AL531" s="192"/>
      <c r="AM531" s="192"/>
      <c r="AN531" s="192"/>
      <c r="AO531" s="192"/>
      <c r="AP531" s="192"/>
      <c r="AQ531" s="192"/>
      <c r="AR531" s="192"/>
      <c r="AS531" s="192"/>
      <c r="AT531" s="192"/>
      <c r="AU531" s="192"/>
      <c r="AV531" s="192"/>
      <c r="AW531" s="192"/>
      <c r="AX531" s="192"/>
      <c r="AY531" s="192"/>
      <c r="AZ531" s="192"/>
      <c r="BA531" s="192"/>
      <c r="BB531" s="192"/>
      <c r="BC531" s="192"/>
      <c r="BD531" s="192"/>
      <c r="BE531" s="192"/>
      <c r="BF531" s="192"/>
      <c r="BG531" s="192"/>
      <c r="BH531" s="192"/>
      <c r="BI531" s="192"/>
      <c r="BJ531" s="220" cm="1">
        <f t="array" ref="BJ531">BJ529*INDEX(LoanCohortRate,$A528)</f>
        <v>0.38541666666666669</v>
      </c>
      <c r="BK531" s="221" cm="1">
        <f t="array" ref="BK531">BK529*INDEX(LoanCohortRate,$A528)</f>
        <v>0.36676669522243527</v>
      </c>
    </row>
    <row r="532" spans="1:63" ht="7.8" x14ac:dyDescent="0.15">
      <c r="A532" s="218" t="s">
        <v>177</v>
      </c>
      <c r="B532" s="192"/>
      <c r="C532" s="192"/>
      <c r="D532" s="192"/>
      <c r="E532" s="192"/>
      <c r="F532" s="192"/>
      <c r="G532" s="192"/>
      <c r="H532" s="192"/>
      <c r="I532" s="192"/>
      <c r="J532" s="192"/>
      <c r="K532" s="192"/>
      <c r="L532" s="192"/>
      <c r="M532" s="192"/>
      <c r="N532" s="192"/>
      <c r="O532" s="192"/>
      <c r="P532" s="192"/>
      <c r="Q532" s="192"/>
      <c r="R532" s="192"/>
      <c r="S532" s="192"/>
      <c r="T532" s="192"/>
      <c r="U532" s="192"/>
      <c r="V532" s="192"/>
      <c r="W532" s="192"/>
      <c r="X532" s="192"/>
      <c r="Y532" s="192"/>
      <c r="Z532" s="192"/>
      <c r="AA532" s="192"/>
      <c r="AB532" s="192"/>
      <c r="AC532" s="192"/>
      <c r="AD532" s="192"/>
      <c r="AE532" s="192"/>
      <c r="AF532" s="192"/>
      <c r="AG532" s="192"/>
      <c r="AH532" s="192"/>
      <c r="AI532" s="192"/>
      <c r="AJ532" s="192"/>
      <c r="AK532" s="192"/>
      <c r="AL532" s="192"/>
      <c r="AM532" s="192"/>
      <c r="AN532" s="192"/>
      <c r="AO532" s="192"/>
      <c r="AP532" s="192"/>
      <c r="AQ532" s="192"/>
      <c r="AR532" s="192"/>
      <c r="AS532" s="192"/>
      <c r="AT532" s="192"/>
      <c r="AU532" s="192"/>
      <c r="AV532" s="192"/>
      <c r="AW532" s="192"/>
      <c r="AX532" s="192"/>
      <c r="AY532" s="192"/>
      <c r="AZ532" s="192"/>
      <c r="BA532" s="192"/>
      <c r="BB532" s="192"/>
      <c r="BC532" s="192"/>
      <c r="BD532" s="192"/>
      <c r="BE532" s="192"/>
      <c r="BF532" s="192"/>
      <c r="BG532" s="192"/>
      <c r="BH532" s="192"/>
      <c r="BI532" s="192"/>
      <c r="BJ532" s="219">
        <f>BJ530-BJ531</f>
        <v>1.2097278774636584</v>
      </c>
      <c r="BK532" s="222">
        <f t="shared" ref="BK532" si="5615">BK530-BK531</f>
        <v>1.2283778489078898</v>
      </c>
    </row>
    <row r="533" spans="1:63" ht="7.8" x14ac:dyDescent="0.15">
      <c r="A533" s="205" t="s">
        <v>7</v>
      </c>
      <c r="B533" s="192"/>
      <c r="C533" s="192"/>
      <c r="D533" s="192"/>
      <c r="E533" s="192"/>
      <c r="F533" s="192"/>
      <c r="G533" s="192"/>
      <c r="H533" s="192"/>
      <c r="I533" s="192"/>
      <c r="J533" s="192"/>
      <c r="K533" s="192"/>
      <c r="L533" s="192"/>
      <c r="M533" s="192"/>
      <c r="N533" s="192"/>
      <c r="O533" s="192"/>
      <c r="P533" s="192"/>
      <c r="Q533" s="192"/>
      <c r="R533" s="192"/>
      <c r="S533" s="192"/>
      <c r="T533" s="192"/>
      <c r="U533" s="192"/>
      <c r="V533" s="192"/>
      <c r="W533" s="192"/>
      <c r="X533" s="192"/>
      <c r="Y533" s="192"/>
      <c r="Z533" s="192"/>
      <c r="AA533" s="192"/>
      <c r="AB533" s="192"/>
      <c r="AC533" s="192"/>
      <c r="AD533" s="192"/>
      <c r="AE533" s="192"/>
      <c r="AF533" s="192"/>
      <c r="AG533" s="192"/>
      <c r="AH533" s="192"/>
      <c r="AI533" s="192"/>
      <c r="AJ533" s="192"/>
      <c r="AK533" s="192"/>
      <c r="AL533" s="192"/>
      <c r="AM533" s="192"/>
      <c r="AN533" s="192"/>
      <c r="AO533" s="192"/>
      <c r="AP533" s="192"/>
      <c r="AQ533" s="192"/>
      <c r="AR533" s="192"/>
      <c r="AS533" s="192"/>
      <c r="AT533" s="192"/>
      <c r="AU533" s="192"/>
      <c r="AV533" s="192"/>
      <c r="AW533" s="192"/>
      <c r="AX533" s="192"/>
      <c r="AY533" s="192"/>
      <c r="AZ533" s="192"/>
      <c r="BA533" s="192"/>
      <c r="BB533" s="192"/>
      <c r="BC533" s="192"/>
      <c r="BD533" s="192"/>
      <c r="BE533" s="192"/>
      <c r="BF533" s="192"/>
      <c r="BG533" s="192"/>
      <c r="BH533" s="192"/>
      <c r="BI533" s="192"/>
      <c r="BJ533" s="214" cm="1">
        <f t="array" ref="BJ533">INDEX(LoanOriginations,$A528)</f>
        <v>133.54621445501917</v>
      </c>
      <c r="BK533" s="199">
        <f>BJ533*(1-MitigateDelinquency*MitigateChargeoff)  *  IF(BK528=0,0,IF(BK528-102=LoanSaleHeld,0.6,1))</f>
        <v>133.41266824056416</v>
      </c>
    </row>
    <row r="534" spans="1:63" ht="7.8" x14ac:dyDescent="0.15">
      <c r="A534" s="207" t="s">
        <v>96</v>
      </c>
      <c r="B534" s="192"/>
      <c r="C534" s="192"/>
      <c r="D534" s="192"/>
      <c r="E534" s="192"/>
      <c r="F534" s="192"/>
      <c r="G534" s="192"/>
      <c r="H534" s="192"/>
      <c r="I534" s="192"/>
      <c r="J534" s="192"/>
      <c r="K534" s="192"/>
      <c r="L534" s="192"/>
      <c r="M534" s="192"/>
      <c r="N534" s="192"/>
      <c r="O534" s="192"/>
      <c r="P534" s="192"/>
      <c r="Q534" s="192"/>
      <c r="R534" s="192"/>
      <c r="S534" s="192"/>
      <c r="T534" s="192"/>
      <c r="U534" s="192"/>
      <c r="V534" s="192"/>
      <c r="W534" s="192"/>
      <c r="X534" s="192"/>
      <c r="Y534" s="192"/>
      <c r="Z534" s="192"/>
      <c r="AA534" s="192"/>
      <c r="AB534" s="192"/>
      <c r="AC534" s="192"/>
      <c r="AD534" s="192"/>
      <c r="AE534" s="192"/>
      <c r="AF534" s="192"/>
      <c r="AG534" s="192"/>
      <c r="AH534" s="192"/>
      <c r="AI534" s="192"/>
      <c r="AJ534" s="192"/>
      <c r="AK534" s="192"/>
      <c r="AL534" s="192"/>
      <c r="AM534" s="192"/>
      <c r="AN534" s="192"/>
      <c r="AO534" s="192"/>
      <c r="AP534" s="192"/>
      <c r="AQ534" s="192"/>
      <c r="AR534" s="192"/>
      <c r="AS534" s="192"/>
      <c r="AT534" s="192"/>
      <c r="AU534" s="192"/>
      <c r="AV534" s="192"/>
      <c r="AW534" s="192"/>
      <c r="AX534" s="192"/>
      <c r="AY534" s="192"/>
      <c r="AZ534" s="192"/>
      <c r="BA534" s="192"/>
      <c r="BB534" s="192"/>
      <c r="BC534" s="192"/>
      <c r="BD534" s="192"/>
      <c r="BE534" s="192"/>
      <c r="BF534" s="192"/>
      <c r="BG534" s="192"/>
      <c r="BH534" s="192"/>
      <c r="BI534" s="192"/>
      <c r="BJ534" s="223">
        <f>BJ531*BJ533</f>
        <v>51.470936821205306</v>
      </c>
      <c r="BK534" s="200">
        <f t="shared" ref="BK534" si="5616">BK531*BK533</f>
        <v>48.931323431398866</v>
      </c>
    </row>
    <row r="535" spans="1:63" ht="7.8" x14ac:dyDescent="0.15">
      <c r="A535" s="206" t="s">
        <v>97</v>
      </c>
      <c r="B535" s="192"/>
      <c r="C535" s="192"/>
      <c r="D535" s="192"/>
      <c r="E535" s="192"/>
      <c r="F535" s="192"/>
      <c r="G535" s="192"/>
      <c r="H535" s="192"/>
      <c r="I535" s="192"/>
      <c r="J535" s="192"/>
      <c r="K535" s="192"/>
      <c r="L535" s="192"/>
      <c r="M535" s="192"/>
      <c r="N535" s="192"/>
      <c r="O535" s="192"/>
      <c r="P535" s="192"/>
      <c r="Q535" s="192"/>
      <c r="R535" s="192"/>
      <c r="S535" s="192"/>
      <c r="T535" s="192"/>
      <c r="U535" s="192"/>
      <c r="V535" s="192"/>
      <c r="W535" s="192"/>
      <c r="X535" s="192"/>
      <c r="Y535" s="192"/>
      <c r="Z535" s="192"/>
      <c r="AA535" s="192"/>
      <c r="AB535" s="192"/>
      <c r="AC535" s="192"/>
      <c r="AD535" s="192"/>
      <c r="AE535" s="192"/>
      <c r="AF535" s="192"/>
      <c r="AG535" s="192"/>
      <c r="AH535" s="192"/>
      <c r="AI535" s="192"/>
      <c r="AJ535" s="192"/>
      <c r="AK535" s="192"/>
      <c r="AL535" s="192"/>
      <c r="AM535" s="192"/>
      <c r="AN535" s="192"/>
      <c r="AO535" s="192"/>
      <c r="AP535" s="192"/>
      <c r="AQ535" s="192"/>
      <c r="AR535" s="192"/>
      <c r="AS535" s="192"/>
      <c r="AT535" s="192"/>
      <c r="AU535" s="192"/>
      <c r="AV535" s="192"/>
      <c r="AW535" s="192"/>
      <c r="AX535" s="192"/>
      <c r="AY535" s="192"/>
      <c r="AZ535" s="192"/>
      <c r="BA535" s="192"/>
      <c r="BB535" s="192"/>
      <c r="BC535" s="192"/>
      <c r="BD535" s="192"/>
      <c r="BE535" s="192"/>
      <c r="BF535" s="192"/>
      <c r="BG535" s="192"/>
      <c r="BH535" s="192"/>
      <c r="BI535" s="192"/>
      <c r="BJ535" s="223">
        <f>BJ532*BJ533</f>
        <v>161.55457855597686</v>
      </c>
      <c r="BK535" s="200">
        <f>BK532*BK533</f>
        <v>163.88116643040615</v>
      </c>
    </row>
    <row r="536" spans="1:63" ht="7.8" x14ac:dyDescent="0.15">
      <c r="A536" s="208" t="s">
        <v>203</v>
      </c>
      <c r="B536" s="192"/>
      <c r="C536" s="192"/>
      <c r="D536" s="192"/>
      <c r="E536" s="192"/>
      <c r="F536" s="192"/>
      <c r="G536" s="192"/>
      <c r="H536" s="192"/>
      <c r="I536" s="192"/>
      <c r="J536" s="192"/>
      <c r="K536" s="192"/>
      <c r="L536" s="192"/>
      <c r="M536" s="192"/>
      <c r="N536" s="192"/>
      <c r="O536" s="192"/>
      <c r="P536" s="192"/>
      <c r="Q536" s="192"/>
      <c r="R536" s="192"/>
      <c r="S536" s="192"/>
      <c r="T536" s="192"/>
      <c r="U536" s="192"/>
      <c r="V536" s="192"/>
      <c r="W536" s="192"/>
      <c r="X536" s="192"/>
      <c r="Y536" s="192"/>
      <c r="Z536" s="192"/>
      <c r="AA536" s="192"/>
      <c r="AB536" s="192"/>
      <c r="AC536" s="192"/>
      <c r="AD536" s="192"/>
      <c r="AE536" s="192"/>
      <c r="AF536" s="192"/>
      <c r="AG536" s="192"/>
      <c r="AH536" s="192"/>
      <c r="AI536" s="192"/>
      <c r="AJ536" s="192"/>
      <c r="AK536" s="192"/>
      <c r="AL536" s="192"/>
      <c r="AM536" s="192"/>
      <c r="AN536" s="192"/>
      <c r="AO536" s="192"/>
      <c r="AP536" s="192"/>
      <c r="AQ536" s="192"/>
      <c r="AR536" s="192"/>
      <c r="AS536" s="192"/>
      <c r="AT536" s="192"/>
      <c r="AU536" s="192"/>
      <c r="AV536" s="192"/>
      <c r="AW536" s="192"/>
      <c r="AX536" s="192"/>
      <c r="AY536" s="192"/>
      <c r="AZ536" s="192"/>
      <c r="BA536" s="192"/>
      <c r="BB536" s="192"/>
      <c r="BC536" s="192"/>
      <c r="BD536" s="192"/>
      <c r="BE536" s="192"/>
      <c r="BF536" s="192"/>
      <c r="BG536" s="192"/>
      <c r="BH536" s="192"/>
      <c r="BI536" s="192"/>
      <c r="BJ536" s="224">
        <f>IF(BJ528-101&lt;&gt;LoanSaleHeld,0,SUM($D535:BJ535)*LoanSalePercent)</f>
        <v>0</v>
      </c>
      <c r="BK536" s="225">
        <f>IF(BK528-101&lt;&gt;LoanSaleHeld,0,SUM($D535:BK535)*LoanSalePercent)</f>
        <v>0</v>
      </c>
    </row>
    <row r="537" spans="1:63" ht="7.8" x14ac:dyDescent="0.15">
      <c r="A537" s="204">
        <f t="shared" ref="A537" si="5617">A528+1</f>
        <v>60</v>
      </c>
      <c r="B537" s="192"/>
      <c r="C537" s="192"/>
      <c r="D537" s="192"/>
      <c r="E537" s="192"/>
      <c r="F537" s="192"/>
      <c r="G537" s="192"/>
      <c r="H537" s="192"/>
      <c r="I537" s="192"/>
      <c r="J537" s="192"/>
      <c r="K537" s="192"/>
      <c r="L537" s="192"/>
      <c r="M537" s="192"/>
      <c r="N537" s="192"/>
      <c r="O537" s="192"/>
      <c r="P537" s="192"/>
      <c r="Q537" s="192"/>
      <c r="R537" s="192"/>
      <c r="S537" s="192"/>
      <c r="T537" s="192"/>
      <c r="U537" s="192"/>
      <c r="V537" s="192"/>
      <c r="W537" s="192"/>
      <c r="X537" s="192"/>
      <c r="Y537" s="192"/>
      <c r="Z537" s="192"/>
      <c r="AA537" s="192"/>
      <c r="AB537" s="192"/>
      <c r="AC537" s="192"/>
      <c r="AD537" s="192"/>
      <c r="AE537" s="192"/>
      <c r="AF537" s="192"/>
      <c r="AG537" s="192"/>
      <c r="AH537" s="192"/>
      <c r="AI537" s="192"/>
      <c r="AJ537" s="192"/>
      <c r="AK537" s="192"/>
      <c r="AL537" s="192"/>
      <c r="AM537" s="192"/>
      <c r="AN537" s="192"/>
      <c r="AO537" s="192"/>
      <c r="AP537" s="192"/>
      <c r="AQ537" s="192"/>
      <c r="AR537" s="192"/>
      <c r="AS537" s="192"/>
      <c r="AT537" s="192"/>
      <c r="AU537" s="192"/>
      <c r="AV537" s="192"/>
      <c r="AW537" s="192"/>
      <c r="AX537" s="192"/>
      <c r="AY537" s="192"/>
      <c r="AZ537" s="192"/>
      <c r="BA537" s="192"/>
      <c r="BB537" s="192"/>
      <c r="BC537" s="192"/>
      <c r="BD537" s="192"/>
      <c r="BE537" s="192"/>
      <c r="BF537" s="192"/>
      <c r="BG537" s="192"/>
      <c r="BH537" s="192"/>
      <c r="BI537" s="192"/>
      <c r="BJ537" s="192"/>
      <c r="BK537" s="195">
        <v>101</v>
      </c>
    </row>
    <row r="538" spans="1:63" ht="7.8" x14ac:dyDescent="0.15">
      <c r="A538" s="216" t="s">
        <v>178</v>
      </c>
      <c r="B538" s="192"/>
      <c r="C538" s="192"/>
      <c r="D538" s="192"/>
      <c r="E538" s="192"/>
      <c r="F538" s="192"/>
      <c r="G538" s="192"/>
      <c r="H538" s="192"/>
      <c r="I538" s="192"/>
      <c r="J538" s="192"/>
      <c r="K538" s="192"/>
      <c r="L538" s="192"/>
      <c r="M538" s="192"/>
      <c r="N538" s="192"/>
      <c r="O538" s="192"/>
      <c r="P538" s="192"/>
      <c r="Q538" s="192"/>
      <c r="R538" s="192"/>
      <c r="S538" s="192"/>
      <c r="T538" s="192"/>
      <c r="U538" s="192"/>
      <c r="V538" s="192"/>
      <c r="W538" s="192"/>
      <c r="X538" s="192"/>
      <c r="Y538" s="192"/>
      <c r="Z538" s="192"/>
      <c r="AA538" s="192"/>
      <c r="AB538" s="192"/>
      <c r="AC538" s="192"/>
      <c r="AD538" s="192"/>
      <c r="AE538" s="192"/>
      <c r="AF538" s="192"/>
      <c r="AG538" s="192"/>
      <c r="AH538" s="192"/>
      <c r="AI538" s="192"/>
      <c r="AJ538" s="192"/>
      <c r="AK538" s="192"/>
      <c r="AL538" s="192"/>
      <c r="AM538" s="192"/>
      <c r="AN538" s="192"/>
      <c r="AO538" s="192"/>
      <c r="AP538" s="192"/>
      <c r="AQ538" s="192"/>
      <c r="AR538" s="192"/>
      <c r="AS538" s="192"/>
      <c r="AT538" s="192"/>
      <c r="AU538" s="192"/>
      <c r="AV538" s="192"/>
      <c r="AW538" s="192"/>
      <c r="AX538" s="192"/>
      <c r="AY538" s="192"/>
      <c r="AZ538" s="192"/>
      <c r="BA538" s="192"/>
      <c r="BB538" s="192"/>
      <c r="BC538" s="192"/>
      <c r="BD538" s="192"/>
      <c r="BE538" s="192"/>
      <c r="BF538" s="192"/>
      <c r="BG538" s="192"/>
      <c r="BH538" s="192"/>
      <c r="BI538" s="192"/>
      <c r="BJ538" s="192"/>
      <c r="BK538" s="217">
        <f>LoanSize</f>
        <v>25</v>
      </c>
    </row>
    <row r="539" spans="1:63" ht="7.8" x14ac:dyDescent="0.15">
      <c r="A539" s="218" t="s">
        <v>179</v>
      </c>
      <c r="B539" s="192"/>
      <c r="C539" s="192"/>
      <c r="D539" s="192"/>
      <c r="E539" s="192"/>
      <c r="F539" s="192"/>
      <c r="G539" s="192"/>
      <c r="H539" s="192"/>
      <c r="I539" s="192"/>
      <c r="J539" s="192"/>
      <c r="K539" s="192"/>
      <c r="L539" s="192"/>
      <c r="M539" s="192"/>
      <c r="N539" s="192"/>
      <c r="O539" s="192"/>
      <c r="P539" s="192"/>
      <c r="Q539" s="192"/>
      <c r="R539" s="192"/>
      <c r="S539" s="192"/>
      <c r="T539" s="192"/>
      <c r="U539" s="192"/>
      <c r="V539" s="192"/>
      <c r="W539" s="192"/>
      <c r="X539" s="192"/>
      <c r="Y539" s="192"/>
      <c r="Z539" s="192"/>
      <c r="AA539" s="192"/>
      <c r="AB539" s="192"/>
      <c r="AC539" s="192"/>
      <c r="AD539" s="192"/>
      <c r="AE539" s="192"/>
      <c r="AF539" s="192"/>
      <c r="AG539" s="192"/>
      <c r="AH539" s="192"/>
      <c r="AI539" s="192"/>
      <c r="AJ539" s="192"/>
      <c r="AK539" s="192"/>
      <c r="AL539" s="192"/>
      <c r="AM539" s="192"/>
      <c r="AN539" s="192"/>
      <c r="AO539" s="192"/>
      <c r="AP539" s="192"/>
      <c r="AQ539" s="192"/>
      <c r="AR539" s="192"/>
      <c r="AS539" s="192"/>
      <c r="AT539" s="192"/>
      <c r="AU539" s="192"/>
      <c r="AV539" s="192"/>
      <c r="AW539" s="192"/>
      <c r="AX539" s="192"/>
      <c r="AY539" s="192"/>
      <c r="AZ539" s="192"/>
      <c r="BA539" s="192"/>
      <c r="BB539" s="192"/>
      <c r="BC539" s="192"/>
      <c r="BD539" s="192"/>
      <c r="BE539" s="192"/>
      <c r="BF539" s="192"/>
      <c r="BG539" s="192"/>
      <c r="BH539" s="192"/>
      <c r="BI539" s="192"/>
      <c r="BJ539" s="192"/>
      <c r="BK539" s="219">
        <f>IF(BK538=0,0,PMT(INDEX(LoanCohortRate,1),LoanTerm, -LoanSize))</f>
        <v>1.5951445441303251</v>
      </c>
    </row>
    <row r="540" spans="1:63" ht="7.8" x14ac:dyDescent="0.15">
      <c r="A540" s="218" t="s">
        <v>180</v>
      </c>
      <c r="B540" s="192"/>
      <c r="C540" s="192"/>
      <c r="D540" s="192"/>
      <c r="E540" s="192"/>
      <c r="F540" s="192"/>
      <c r="G540" s="192"/>
      <c r="H540" s="192"/>
      <c r="I540" s="192"/>
      <c r="J540" s="192"/>
      <c r="K540" s="192"/>
      <c r="L540" s="192"/>
      <c r="M540" s="192"/>
      <c r="N540" s="192"/>
      <c r="O540" s="192"/>
      <c r="P540" s="192"/>
      <c r="Q540" s="192"/>
      <c r="R540" s="192"/>
      <c r="S540" s="192"/>
      <c r="T540" s="192"/>
      <c r="U540" s="192"/>
      <c r="V540" s="192"/>
      <c r="W540" s="192"/>
      <c r="X540" s="192"/>
      <c r="Y540" s="192"/>
      <c r="Z540" s="192"/>
      <c r="AA540" s="192"/>
      <c r="AB540" s="192"/>
      <c r="AC540" s="192"/>
      <c r="AD540" s="192"/>
      <c r="AE540" s="192"/>
      <c r="AF540" s="192"/>
      <c r="AG540" s="192"/>
      <c r="AH540" s="192"/>
      <c r="AI540" s="192"/>
      <c r="AJ540" s="192"/>
      <c r="AK540" s="192"/>
      <c r="AL540" s="192"/>
      <c r="AM540" s="192"/>
      <c r="AN540" s="192"/>
      <c r="AO540" s="192"/>
      <c r="AP540" s="192"/>
      <c r="AQ540" s="192"/>
      <c r="AR540" s="192"/>
      <c r="AS540" s="192"/>
      <c r="AT540" s="192"/>
      <c r="AU540" s="192"/>
      <c r="AV540" s="192"/>
      <c r="AW540" s="192"/>
      <c r="AX540" s="192"/>
      <c r="AY540" s="192"/>
      <c r="AZ540" s="192"/>
      <c r="BA540" s="192"/>
      <c r="BB540" s="192"/>
      <c r="BC540" s="192"/>
      <c r="BD540" s="192"/>
      <c r="BE540" s="192"/>
      <c r="BF540" s="192"/>
      <c r="BG540" s="192"/>
      <c r="BH540" s="192"/>
      <c r="BI540" s="192"/>
      <c r="BJ540" s="192"/>
      <c r="BK540" s="220" cm="1">
        <f t="array" ref="BK540">BK538*INDEX(LoanCohortRate,$A537)</f>
        <v>0.38541666666666669</v>
      </c>
    </row>
    <row r="541" spans="1:63" ht="7.8" x14ac:dyDescent="0.15">
      <c r="A541" s="218" t="s">
        <v>177</v>
      </c>
      <c r="B541" s="192"/>
      <c r="C541" s="192"/>
      <c r="D541" s="192"/>
      <c r="E541" s="192"/>
      <c r="F541" s="192"/>
      <c r="G541" s="192"/>
      <c r="H541" s="192"/>
      <c r="I541" s="192"/>
      <c r="J541" s="192"/>
      <c r="K541" s="192"/>
      <c r="L541" s="192"/>
      <c r="M541" s="192"/>
      <c r="N541" s="192"/>
      <c r="O541" s="192"/>
      <c r="P541" s="192"/>
      <c r="Q541" s="192"/>
      <c r="R541" s="192"/>
      <c r="S541" s="192"/>
      <c r="T541" s="192"/>
      <c r="U541" s="192"/>
      <c r="V541" s="192"/>
      <c r="W541" s="192"/>
      <c r="X541" s="192"/>
      <c r="Y541" s="192"/>
      <c r="Z541" s="192"/>
      <c r="AA541" s="192"/>
      <c r="AB541" s="192"/>
      <c r="AC541" s="192"/>
      <c r="AD541" s="192"/>
      <c r="AE541" s="192"/>
      <c r="AF541" s="192"/>
      <c r="AG541" s="192"/>
      <c r="AH541" s="192"/>
      <c r="AI541" s="192"/>
      <c r="AJ541" s="192"/>
      <c r="AK541" s="192"/>
      <c r="AL541" s="192"/>
      <c r="AM541" s="192"/>
      <c r="AN541" s="192"/>
      <c r="AO541" s="192"/>
      <c r="AP541" s="192"/>
      <c r="AQ541" s="192"/>
      <c r="AR541" s="192"/>
      <c r="AS541" s="192"/>
      <c r="AT541" s="192"/>
      <c r="AU541" s="192"/>
      <c r="AV541" s="192"/>
      <c r="AW541" s="192"/>
      <c r="AX541" s="192"/>
      <c r="AY541" s="192"/>
      <c r="AZ541" s="192"/>
      <c r="BA541" s="192"/>
      <c r="BB541" s="192"/>
      <c r="BC541" s="192"/>
      <c r="BD541" s="192"/>
      <c r="BE541" s="192"/>
      <c r="BF541" s="192"/>
      <c r="BG541" s="192"/>
      <c r="BH541" s="192"/>
      <c r="BI541" s="192"/>
      <c r="BJ541" s="192"/>
      <c r="BK541" s="219">
        <f>BK539-BK540</f>
        <v>1.2097278774636584</v>
      </c>
    </row>
    <row r="542" spans="1:63" ht="7.8" x14ac:dyDescent="0.15">
      <c r="A542" s="205" t="s">
        <v>7</v>
      </c>
      <c r="B542" s="192"/>
      <c r="C542" s="192"/>
      <c r="D542" s="192"/>
      <c r="E542" s="192"/>
      <c r="F542" s="192"/>
      <c r="G542" s="192"/>
      <c r="H542" s="192"/>
      <c r="I542" s="192"/>
      <c r="J542" s="192"/>
      <c r="K542" s="192"/>
      <c r="L542" s="192"/>
      <c r="M542" s="192"/>
      <c r="N542" s="192"/>
      <c r="O542" s="192"/>
      <c r="P542" s="192"/>
      <c r="Q542" s="192"/>
      <c r="R542" s="192"/>
      <c r="S542" s="192"/>
      <c r="T542" s="192"/>
      <c r="U542" s="192"/>
      <c r="V542" s="192"/>
      <c r="W542" s="192"/>
      <c r="X542" s="192"/>
      <c r="Y542" s="192"/>
      <c r="Z542" s="192"/>
      <c r="AA542" s="192"/>
      <c r="AB542" s="192"/>
      <c r="AC542" s="192"/>
      <c r="AD542" s="192"/>
      <c r="AE542" s="192"/>
      <c r="AF542" s="192"/>
      <c r="AG542" s="192"/>
      <c r="AH542" s="192"/>
      <c r="AI542" s="192"/>
      <c r="AJ542" s="192"/>
      <c r="AK542" s="192"/>
      <c r="AL542" s="192"/>
      <c r="AM542" s="192"/>
      <c r="AN542" s="192"/>
      <c r="AO542" s="192"/>
      <c r="AP542" s="192"/>
      <c r="AQ542" s="192"/>
      <c r="AR542" s="192"/>
      <c r="AS542" s="192"/>
      <c r="AT542" s="192"/>
      <c r="AU542" s="192"/>
      <c r="AV542" s="192"/>
      <c r="AW542" s="192"/>
      <c r="AX542" s="192"/>
      <c r="AY542" s="192"/>
      <c r="AZ542" s="192"/>
      <c r="BA542" s="192"/>
      <c r="BB542" s="192"/>
      <c r="BC542" s="192"/>
      <c r="BD542" s="192"/>
      <c r="BE542" s="192"/>
      <c r="BF542" s="192"/>
      <c r="BG542" s="192"/>
      <c r="BH542" s="192"/>
      <c r="BI542" s="192"/>
      <c r="BJ542" s="192"/>
      <c r="BK542" s="214" cm="1">
        <f t="array" ref="BK542">INDEX(LoanOriginations,$A537)</f>
        <v>134.21394552729424</v>
      </c>
    </row>
    <row r="543" spans="1:63" ht="7.8" x14ac:dyDescent="0.15">
      <c r="A543" s="207" t="s">
        <v>96</v>
      </c>
      <c r="B543" s="192"/>
      <c r="C543" s="192"/>
      <c r="D543" s="192"/>
      <c r="E543" s="192"/>
      <c r="F543" s="192"/>
      <c r="G543" s="192"/>
      <c r="H543" s="192"/>
      <c r="I543" s="192"/>
      <c r="J543" s="192"/>
      <c r="K543" s="192"/>
      <c r="L543" s="192"/>
      <c r="M543" s="192"/>
      <c r="N543" s="192"/>
      <c r="O543" s="192"/>
      <c r="P543" s="192"/>
      <c r="Q543" s="192"/>
      <c r="R543" s="192"/>
      <c r="S543" s="192"/>
      <c r="T543" s="192"/>
      <c r="U543" s="192"/>
      <c r="V543" s="192"/>
      <c r="W543" s="192"/>
      <c r="X543" s="192"/>
      <c r="Y543" s="192"/>
      <c r="Z543" s="192"/>
      <c r="AA543" s="192"/>
      <c r="AB543" s="192"/>
      <c r="AC543" s="192"/>
      <c r="AD543" s="192"/>
      <c r="AE543" s="192"/>
      <c r="AF543" s="192"/>
      <c r="AG543" s="192"/>
      <c r="AH543" s="192"/>
      <c r="AI543" s="192"/>
      <c r="AJ543" s="192"/>
      <c r="AK543" s="192"/>
      <c r="AL543" s="192"/>
      <c r="AM543" s="192"/>
      <c r="AN543" s="192"/>
      <c r="AO543" s="192"/>
      <c r="AP543" s="192"/>
      <c r="AQ543" s="192"/>
      <c r="AR543" s="192"/>
      <c r="AS543" s="192"/>
      <c r="AT543" s="192"/>
      <c r="AU543" s="192"/>
      <c r="AV543" s="192"/>
      <c r="AW543" s="192"/>
      <c r="AX543" s="192"/>
      <c r="AY543" s="192"/>
      <c r="AZ543" s="192"/>
      <c r="BA543" s="192"/>
      <c r="BB543" s="192"/>
      <c r="BC543" s="192"/>
      <c r="BD543" s="192"/>
      <c r="BE543" s="192"/>
      <c r="BF543" s="192"/>
      <c r="BG543" s="192"/>
      <c r="BH543" s="192"/>
      <c r="BI543" s="192"/>
      <c r="BJ543" s="192"/>
      <c r="BK543" s="223">
        <f>BK540*BK542</f>
        <v>51.728291505311326</v>
      </c>
    </row>
    <row r="544" spans="1:63" ht="7.8" x14ac:dyDescent="0.15">
      <c r="A544" s="206" t="s">
        <v>97</v>
      </c>
      <c r="B544" s="192"/>
      <c r="C544" s="192"/>
      <c r="D544" s="192"/>
      <c r="E544" s="192"/>
      <c r="F544" s="192"/>
      <c r="G544" s="192"/>
      <c r="H544" s="192"/>
      <c r="I544" s="192"/>
      <c r="J544" s="192"/>
      <c r="K544" s="192"/>
      <c r="L544" s="192"/>
      <c r="M544" s="192"/>
      <c r="N544" s="192"/>
      <c r="O544" s="192"/>
      <c r="P544" s="192"/>
      <c r="Q544" s="192"/>
      <c r="R544" s="192"/>
      <c r="S544" s="192"/>
      <c r="T544" s="192"/>
      <c r="U544" s="192"/>
      <c r="V544" s="192"/>
      <c r="W544" s="192"/>
      <c r="X544" s="192"/>
      <c r="Y544" s="192"/>
      <c r="Z544" s="192"/>
      <c r="AA544" s="192"/>
      <c r="AB544" s="192"/>
      <c r="AC544" s="192"/>
      <c r="AD544" s="192"/>
      <c r="AE544" s="192"/>
      <c r="AF544" s="192"/>
      <c r="AG544" s="192"/>
      <c r="AH544" s="192"/>
      <c r="AI544" s="192"/>
      <c r="AJ544" s="192"/>
      <c r="AK544" s="192"/>
      <c r="AL544" s="192"/>
      <c r="AM544" s="192"/>
      <c r="AN544" s="192"/>
      <c r="AO544" s="192"/>
      <c r="AP544" s="192"/>
      <c r="AQ544" s="192"/>
      <c r="AR544" s="192"/>
      <c r="AS544" s="192"/>
      <c r="AT544" s="192"/>
      <c r="AU544" s="192"/>
      <c r="AV544" s="192"/>
      <c r="AW544" s="192"/>
      <c r="AX544" s="192"/>
      <c r="AY544" s="192"/>
      <c r="AZ544" s="192"/>
      <c r="BA544" s="192"/>
      <c r="BB544" s="192"/>
      <c r="BC544" s="192"/>
      <c r="BD544" s="192"/>
      <c r="BE544" s="192"/>
      <c r="BF544" s="192"/>
      <c r="BG544" s="192"/>
      <c r="BH544" s="192"/>
      <c r="BI544" s="192"/>
      <c r="BJ544" s="192"/>
      <c r="BK544" s="223">
        <f>BK541*BK542</f>
        <v>162.36235144875673</v>
      </c>
    </row>
    <row r="545" spans="1:63" ht="7.8" x14ac:dyDescent="0.15">
      <c r="A545" s="208" t="s">
        <v>203</v>
      </c>
      <c r="B545" s="192"/>
      <c r="C545" s="192"/>
      <c r="D545" s="192"/>
      <c r="E545" s="192"/>
      <c r="F545" s="192"/>
      <c r="G545" s="192"/>
      <c r="H545" s="192"/>
      <c r="I545" s="192"/>
      <c r="J545" s="192"/>
      <c r="K545" s="192"/>
      <c r="L545" s="192"/>
      <c r="M545" s="192"/>
      <c r="N545" s="192"/>
      <c r="O545" s="192"/>
      <c r="P545" s="192"/>
      <c r="Q545" s="192"/>
      <c r="R545" s="192"/>
      <c r="S545" s="192"/>
      <c r="T545" s="192"/>
      <c r="U545" s="192"/>
      <c r="V545" s="192"/>
      <c r="W545" s="192"/>
      <c r="X545" s="192"/>
      <c r="Y545" s="192"/>
      <c r="Z545" s="192"/>
      <c r="AA545" s="192"/>
      <c r="AB545" s="192"/>
      <c r="AC545" s="192"/>
      <c r="AD545" s="192"/>
      <c r="AE545" s="192"/>
      <c r="AF545" s="192"/>
      <c r="AG545" s="192"/>
      <c r="AH545" s="192"/>
      <c r="AI545" s="192"/>
      <c r="AJ545" s="192"/>
      <c r="AK545" s="192"/>
      <c r="AL545" s="192"/>
      <c r="AM545" s="192"/>
      <c r="AN545" s="192"/>
      <c r="AO545" s="192"/>
      <c r="AP545" s="192"/>
      <c r="AQ545" s="192"/>
      <c r="AR545" s="192"/>
      <c r="AS545" s="192"/>
      <c r="AT545" s="192"/>
      <c r="AU545" s="192"/>
      <c r="AV545" s="192"/>
      <c r="AW545" s="192"/>
      <c r="AX545" s="192"/>
      <c r="AY545" s="192"/>
      <c r="AZ545" s="192"/>
      <c r="BA545" s="192"/>
      <c r="BB545" s="192"/>
      <c r="BC545" s="192"/>
      <c r="BD545" s="192"/>
      <c r="BE545" s="192"/>
      <c r="BF545" s="192"/>
      <c r="BG545" s="192"/>
      <c r="BH545" s="192"/>
      <c r="BI545" s="192"/>
      <c r="BJ545" s="192"/>
      <c r="BK545" s="224">
        <f>IF(BK537-101&lt;&gt;LoanSaleHeld,0,SUM($D544:BK544)*LoanSalePercent)</f>
        <v>0</v>
      </c>
    </row>
  </sheetData>
  <sheetProtection algorithmName="SHA-512" hashValue="siQMXT2Mn/8DLjBZxAb+xj3T1L8DH6LSuSrqIbpBpE4N8a0eDZEUqXvwcNHj/Kp8T8tq91IzmgQHrD4XJDC10Q==" saltValue="PqfAVfmc8K1kK4iO5gX58Q==" spinCount="100000" sheet="1" objects="1" scenarios="1" selectLockedCells="1" selectUnlockedCells="1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46AC2-5E8A-4AD0-BC0B-A9D56D86C0E2}">
  <sheetPr>
    <tabColor rgb="FFC6E0B4"/>
    <pageSetUpPr fitToPage="1"/>
  </sheetPr>
  <dimension ref="A1:BR46"/>
  <sheetViews>
    <sheetView showGridLines="0" showRowColHeaders="0" showZeros="0" zoomScaleNormal="100" zoomScaleSheetLayoutView="100" workbookViewId="0">
      <pane xSplit="3" ySplit="3" topLeftCell="D4" activePane="bottomRight" state="frozen"/>
      <selection activeCell="G33" sqref="G33"/>
      <selection pane="topRight" activeCell="G33" sqref="G33"/>
      <selection pane="bottomLeft" activeCell="G33" sqref="G33"/>
      <selection pane="bottomRight"/>
    </sheetView>
  </sheetViews>
  <sheetFormatPr defaultColWidth="6.6640625" defaultRowHeight="13.2" x14ac:dyDescent="0.3"/>
  <cols>
    <col min="1" max="1" width="3" style="6" customWidth="1"/>
    <col min="2" max="2" width="21.6640625" style="104" customWidth="1"/>
    <col min="3" max="4" width="0.6640625" style="105" customWidth="1"/>
    <col min="5" max="9" width="8.33203125" style="5" customWidth="1"/>
    <col min="10" max="10" width="2.21875" style="5" customWidth="1"/>
    <col min="11" max="70" width="8.33203125" style="5" customWidth="1"/>
    <col min="71" max="16384" width="6.6640625" style="105"/>
  </cols>
  <sheetData>
    <row r="1" spans="1:70" s="6" customFormat="1" ht="10.199999999999999" x14ac:dyDescent="0.2">
      <c r="A1" s="1" t="s">
        <v>0</v>
      </c>
      <c r="B1" s="89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</row>
    <row r="2" spans="1:70" s="5" customFormat="1" ht="22.8" customHeight="1" x14ac:dyDescent="0.3">
      <c r="A2" s="3"/>
      <c r="B2" s="4"/>
    </row>
    <row r="3" spans="1:70" s="90" customFormat="1" ht="21" x14ac:dyDescent="0.4">
      <c r="A3" s="168"/>
      <c r="B3" s="131" t="s">
        <v>127</v>
      </c>
      <c r="C3" s="168"/>
      <c r="D3" s="168"/>
      <c r="E3" s="165">
        <v>1</v>
      </c>
      <c r="F3" s="165">
        <v>2</v>
      </c>
      <c r="G3" s="165">
        <v>3</v>
      </c>
      <c r="H3" s="165">
        <v>4</v>
      </c>
      <c r="I3" s="165">
        <v>5</v>
      </c>
      <c r="J3" s="187"/>
      <c r="K3" s="166">
        <v>1</v>
      </c>
      <c r="L3" s="166">
        <v>2</v>
      </c>
      <c r="M3" s="166">
        <v>3</v>
      </c>
      <c r="N3" s="166">
        <v>4</v>
      </c>
      <c r="O3" s="166">
        <v>5</v>
      </c>
      <c r="P3" s="166">
        <v>6</v>
      </c>
      <c r="Q3" s="166">
        <v>7</v>
      </c>
      <c r="R3" s="166">
        <v>8</v>
      </c>
      <c r="S3" s="166">
        <v>9</v>
      </c>
      <c r="T3" s="166">
        <v>10</v>
      </c>
      <c r="U3" s="166">
        <v>11</v>
      </c>
      <c r="V3" s="167">
        <v>12</v>
      </c>
      <c r="W3" s="166">
        <v>13</v>
      </c>
      <c r="X3" s="166">
        <v>14</v>
      </c>
      <c r="Y3" s="166">
        <v>15</v>
      </c>
      <c r="Z3" s="166">
        <v>16</v>
      </c>
      <c r="AA3" s="166">
        <v>17</v>
      </c>
      <c r="AB3" s="166">
        <v>18</v>
      </c>
      <c r="AC3" s="166">
        <v>19</v>
      </c>
      <c r="AD3" s="166">
        <v>20</v>
      </c>
      <c r="AE3" s="166">
        <v>21</v>
      </c>
      <c r="AF3" s="166">
        <v>22</v>
      </c>
      <c r="AG3" s="166">
        <v>23</v>
      </c>
      <c r="AH3" s="167">
        <v>24</v>
      </c>
      <c r="AI3" s="166">
        <v>25</v>
      </c>
      <c r="AJ3" s="166">
        <v>26</v>
      </c>
      <c r="AK3" s="166">
        <v>27</v>
      </c>
      <c r="AL3" s="166">
        <v>28</v>
      </c>
      <c r="AM3" s="166">
        <v>29</v>
      </c>
      <c r="AN3" s="166">
        <v>30</v>
      </c>
      <c r="AO3" s="166">
        <v>31</v>
      </c>
      <c r="AP3" s="166">
        <v>32</v>
      </c>
      <c r="AQ3" s="166">
        <v>33</v>
      </c>
      <c r="AR3" s="166">
        <v>34</v>
      </c>
      <c r="AS3" s="166">
        <v>35</v>
      </c>
      <c r="AT3" s="167">
        <v>36</v>
      </c>
      <c r="AU3" s="166">
        <v>37</v>
      </c>
      <c r="AV3" s="166">
        <v>38</v>
      </c>
      <c r="AW3" s="166">
        <v>39</v>
      </c>
      <c r="AX3" s="166">
        <v>40</v>
      </c>
      <c r="AY3" s="166">
        <v>41</v>
      </c>
      <c r="AZ3" s="166">
        <v>42</v>
      </c>
      <c r="BA3" s="166">
        <v>43</v>
      </c>
      <c r="BB3" s="166">
        <v>44</v>
      </c>
      <c r="BC3" s="166">
        <v>45</v>
      </c>
      <c r="BD3" s="166">
        <v>46</v>
      </c>
      <c r="BE3" s="166">
        <v>47</v>
      </c>
      <c r="BF3" s="167">
        <v>48</v>
      </c>
      <c r="BG3" s="166">
        <v>49</v>
      </c>
      <c r="BH3" s="166">
        <v>50</v>
      </c>
      <c r="BI3" s="166">
        <v>51</v>
      </c>
      <c r="BJ3" s="166">
        <v>52</v>
      </c>
      <c r="BK3" s="166">
        <v>53</v>
      </c>
      <c r="BL3" s="166">
        <v>54</v>
      </c>
      <c r="BM3" s="166">
        <v>55</v>
      </c>
      <c r="BN3" s="166">
        <v>56</v>
      </c>
      <c r="BO3" s="166">
        <v>57</v>
      </c>
      <c r="BP3" s="166">
        <v>58</v>
      </c>
      <c r="BQ3" s="166">
        <v>59</v>
      </c>
      <c r="BR3" s="167">
        <v>60</v>
      </c>
    </row>
    <row r="4" spans="1:70" s="5" customFormat="1" ht="6" customHeight="1" x14ac:dyDescent="0.3">
      <c r="A4" s="3"/>
      <c r="B4" s="4"/>
    </row>
    <row r="5" spans="1:70" s="93" customFormat="1" x14ac:dyDescent="0.3">
      <c r="A5" s="230"/>
      <c r="B5" s="150" t="s">
        <v>135</v>
      </c>
      <c r="E5" s="93">
        <f t="shared" ref="E5:E26" ca="1" si="0">SUM(K5:V5)</f>
        <v>2460</v>
      </c>
      <c r="F5" s="93">
        <f t="shared" ref="F5:F26" ca="1" si="1">SUM(W5:AH5)</f>
        <v>2400</v>
      </c>
      <c r="G5" s="93">
        <f t="shared" ref="G5:G26" ca="1" si="2">SUM(AI5:AT5)</f>
        <v>2400</v>
      </c>
      <c r="H5" s="93">
        <f t="shared" ref="H5:H26" ca="1" si="3">SUM(AU5:BF5)</f>
        <v>2400</v>
      </c>
      <c r="I5" s="93">
        <f t="shared" ref="I5:I26" ca="1" si="4">SUM(BG5:BR5)</f>
        <v>2400</v>
      </c>
      <c r="K5" s="93">
        <f>CapitalPreferredStart+CapitalCommonStart+CapitalShortStart+CapitalLongStart</f>
        <v>260</v>
      </c>
      <c r="L5" s="93">
        <f ca="1">K45</f>
        <v>200</v>
      </c>
      <c r="M5" s="93">
        <f t="shared" ref="M5:AF5" ca="1" si="5">L45</f>
        <v>200</v>
      </c>
      <c r="N5" s="93">
        <f t="shared" ca="1" si="5"/>
        <v>200</v>
      </c>
      <c r="O5" s="93">
        <f t="shared" ca="1" si="5"/>
        <v>200</v>
      </c>
      <c r="P5" s="93">
        <f t="shared" ca="1" si="5"/>
        <v>200</v>
      </c>
      <c r="Q5" s="93">
        <f t="shared" ca="1" si="5"/>
        <v>200</v>
      </c>
      <c r="R5" s="93">
        <f t="shared" ca="1" si="5"/>
        <v>200</v>
      </c>
      <c r="S5" s="93">
        <f t="shared" ca="1" si="5"/>
        <v>200</v>
      </c>
      <c r="T5" s="93">
        <f t="shared" ca="1" si="5"/>
        <v>200</v>
      </c>
      <c r="U5" s="93">
        <f t="shared" ca="1" si="5"/>
        <v>200</v>
      </c>
      <c r="V5" s="102">
        <f t="shared" ca="1" si="5"/>
        <v>200</v>
      </c>
      <c r="W5" s="93">
        <f t="shared" ca="1" si="5"/>
        <v>200</v>
      </c>
      <c r="X5" s="93">
        <f t="shared" ca="1" si="5"/>
        <v>200</v>
      </c>
      <c r="Y5" s="93">
        <f t="shared" ca="1" si="5"/>
        <v>200</v>
      </c>
      <c r="Z5" s="93">
        <f t="shared" ca="1" si="5"/>
        <v>200</v>
      </c>
      <c r="AA5" s="93">
        <f t="shared" ca="1" si="5"/>
        <v>200</v>
      </c>
      <c r="AB5" s="93">
        <f t="shared" ca="1" si="5"/>
        <v>200</v>
      </c>
      <c r="AC5" s="93">
        <f t="shared" ca="1" si="5"/>
        <v>200</v>
      </c>
      <c r="AD5" s="93">
        <f t="shared" ca="1" si="5"/>
        <v>200</v>
      </c>
      <c r="AE5" s="93">
        <f t="shared" ca="1" si="5"/>
        <v>200</v>
      </c>
      <c r="AF5" s="93">
        <f t="shared" ca="1" si="5"/>
        <v>200</v>
      </c>
      <c r="AG5" s="93">
        <f t="shared" ref="AG5" ca="1" si="6">AF45</f>
        <v>200</v>
      </c>
      <c r="AH5" s="102">
        <f t="shared" ref="AH5" ca="1" si="7">AG45</f>
        <v>200</v>
      </c>
      <c r="AI5" s="93">
        <f t="shared" ref="AI5" ca="1" si="8">AH45</f>
        <v>200</v>
      </c>
      <c r="AJ5" s="93">
        <f t="shared" ref="AJ5" ca="1" si="9">AI45</f>
        <v>200</v>
      </c>
      <c r="AK5" s="93">
        <f t="shared" ref="AK5" ca="1" si="10">AJ45</f>
        <v>200</v>
      </c>
      <c r="AL5" s="93">
        <f t="shared" ref="AL5" ca="1" si="11">AK45</f>
        <v>200</v>
      </c>
      <c r="AM5" s="93">
        <f t="shared" ref="AM5" ca="1" si="12">AL45</f>
        <v>200</v>
      </c>
      <c r="AN5" s="93">
        <f t="shared" ref="AN5" ca="1" si="13">AM45</f>
        <v>200</v>
      </c>
      <c r="AO5" s="93">
        <f t="shared" ref="AO5" ca="1" si="14">AN45</f>
        <v>200</v>
      </c>
      <c r="AP5" s="93">
        <f t="shared" ref="AP5" ca="1" si="15">AO45</f>
        <v>200</v>
      </c>
      <c r="AQ5" s="93">
        <f t="shared" ref="AQ5" ca="1" si="16">AP45</f>
        <v>200</v>
      </c>
      <c r="AR5" s="93">
        <f t="shared" ref="AR5" ca="1" si="17">AQ45</f>
        <v>200</v>
      </c>
      <c r="AS5" s="93">
        <f t="shared" ref="AS5" ca="1" si="18">AR45</f>
        <v>200</v>
      </c>
      <c r="AT5" s="102">
        <f t="shared" ref="AT5" ca="1" si="19">AS45</f>
        <v>200</v>
      </c>
      <c r="AU5" s="93">
        <f t="shared" ref="AU5" ca="1" si="20">AT45</f>
        <v>200</v>
      </c>
      <c r="AV5" s="93">
        <f t="shared" ref="AV5" ca="1" si="21">AU45</f>
        <v>200</v>
      </c>
      <c r="AW5" s="93">
        <f t="shared" ref="AW5" ca="1" si="22">AV45</f>
        <v>200</v>
      </c>
      <c r="AX5" s="93">
        <f t="shared" ref="AX5" ca="1" si="23">AW45</f>
        <v>200</v>
      </c>
      <c r="AY5" s="93">
        <f t="shared" ref="AY5" ca="1" si="24">AX45</f>
        <v>200</v>
      </c>
      <c r="AZ5" s="93">
        <f t="shared" ref="AZ5" ca="1" si="25">AY45</f>
        <v>200</v>
      </c>
      <c r="BA5" s="93">
        <f t="shared" ref="BA5" ca="1" si="26">AZ45</f>
        <v>200</v>
      </c>
      <c r="BB5" s="93">
        <f t="shared" ref="BB5" ca="1" si="27">BA45</f>
        <v>200</v>
      </c>
      <c r="BC5" s="93">
        <f t="shared" ref="BC5" ca="1" si="28">BB45</f>
        <v>200</v>
      </c>
      <c r="BD5" s="93">
        <f t="shared" ref="BD5" ca="1" si="29">BC45</f>
        <v>200</v>
      </c>
      <c r="BE5" s="93">
        <f t="shared" ref="BE5" ca="1" si="30">BD45</f>
        <v>200</v>
      </c>
      <c r="BF5" s="102">
        <f t="shared" ref="BF5" ca="1" si="31">BE45</f>
        <v>200</v>
      </c>
      <c r="BG5" s="93">
        <f t="shared" ref="BG5" ca="1" si="32">BF45</f>
        <v>200</v>
      </c>
      <c r="BH5" s="93">
        <f t="shared" ref="BH5" ca="1" si="33">BG45</f>
        <v>200</v>
      </c>
      <c r="BI5" s="93">
        <f t="shared" ref="BI5" ca="1" si="34">BH45</f>
        <v>200</v>
      </c>
      <c r="BJ5" s="93">
        <f t="shared" ref="BJ5" ca="1" si="35">BI45</f>
        <v>200</v>
      </c>
      <c r="BK5" s="93">
        <f t="shared" ref="BK5" ca="1" si="36">BJ45</f>
        <v>200</v>
      </c>
      <c r="BL5" s="93">
        <f t="shared" ref="BL5" ca="1" si="37">BK45</f>
        <v>200</v>
      </c>
      <c r="BM5" s="93">
        <f t="shared" ref="BM5" ca="1" si="38">BL45</f>
        <v>200</v>
      </c>
      <c r="BN5" s="93">
        <f t="shared" ref="BN5" ca="1" si="39">BM45</f>
        <v>200</v>
      </c>
      <c r="BO5" s="93">
        <f t="shared" ref="BO5" ca="1" si="40">BN45</f>
        <v>200</v>
      </c>
      <c r="BP5" s="93">
        <f t="shared" ref="BP5" ca="1" si="41">BO45</f>
        <v>200</v>
      </c>
      <c r="BQ5" s="93">
        <f t="shared" ref="BQ5" ca="1" si="42">BP45</f>
        <v>200</v>
      </c>
      <c r="BR5" s="102">
        <f t="shared" ref="BR5" ca="1" si="43">BQ45</f>
        <v>200</v>
      </c>
    </row>
    <row r="6" spans="1:70" s="93" customFormat="1" hidden="1" x14ac:dyDescent="0.3">
      <c r="A6" s="120"/>
      <c r="B6" s="259" t="s">
        <v>126</v>
      </c>
      <c r="E6" s="94">
        <f t="shared" si="0"/>
        <v>50</v>
      </c>
      <c r="F6" s="94">
        <f t="shared" si="1"/>
        <v>0</v>
      </c>
      <c r="G6" s="94">
        <f t="shared" si="2"/>
        <v>0</v>
      </c>
      <c r="H6" s="94">
        <f t="shared" si="3"/>
        <v>0</v>
      </c>
      <c r="I6" s="94">
        <f t="shared" si="4"/>
        <v>0</v>
      </c>
      <c r="K6" s="94">
        <f>IFERROR(VLOOKUP(K$3,CapitalDebtMonth:CapitalShort,2,FALSE),0)</f>
        <v>0</v>
      </c>
      <c r="L6" s="95">
        <f>IFERROR(VLOOKUP(L$3,CapitalDebtMonth:CapitalShort,2,FALSE),0)</f>
        <v>0</v>
      </c>
      <c r="M6" s="95">
        <f>IFERROR(VLOOKUP(M$3,CapitalDebtMonth:CapitalShort,2,FALSE),0)</f>
        <v>0</v>
      </c>
      <c r="N6" s="95">
        <f>IFERROR(VLOOKUP(N$3,CapitalDebtMonth:CapitalShort,2,FALSE),0)</f>
        <v>0</v>
      </c>
      <c r="O6" s="95">
        <f>IFERROR(VLOOKUP(O$3,CapitalDebtMonth:CapitalShort,2,FALSE),0)</f>
        <v>0</v>
      </c>
      <c r="P6" s="95">
        <f>IFERROR(VLOOKUP(P$3,CapitalDebtMonth:CapitalShort,2,FALSE),0)</f>
        <v>25</v>
      </c>
      <c r="Q6" s="95">
        <f>IFERROR(VLOOKUP(Q$3,CapitalDebtMonth:CapitalShort,2,FALSE),0)</f>
        <v>0</v>
      </c>
      <c r="R6" s="95">
        <f>IFERROR(VLOOKUP(R$3,CapitalDebtMonth:CapitalShort,2,FALSE),0)</f>
        <v>0</v>
      </c>
      <c r="S6" s="95">
        <f>IFERROR(VLOOKUP(S$3,CapitalDebtMonth:CapitalShort,2,FALSE),0)</f>
        <v>25</v>
      </c>
      <c r="T6" s="95">
        <f>IFERROR(VLOOKUP(T$3,CapitalDebtMonth:CapitalShort,2,FALSE),0)</f>
        <v>0</v>
      </c>
      <c r="U6" s="95">
        <f>IFERROR(VLOOKUP(U$3,CapitalDebtMonth:CapitalShort,2,FALSE),0)</f>
        <v>0</v>
      </c>
      <c r="V6" s="103">
        <f>IFERROR(VLOOKUP(V$3,CapitalDebtMonth:CapitalShort,2,FALSE),0)</f>
        <v>0</v>
      </c>
      <c r="W6" s="94">
        <f>IFERROR(VLOOKUP(W$3,CapitalDebtMonth:CapitalShort,2,FALSE),0)</f>
        <v>0</v>
      </c>
      <c r="X6" s="95">
        <f>IFERROR(VLOOKUP(X$3,CapitalDebtMonth:CapitalShort,2,FALSE),0)</f>
        <v>0</v>
      </c>
      <c r="Y6" s="95">
        <f>IFERROR(VLOOKUP(Y$3,CapitalDebtMonth:CapitalShort,2,FALSE),0)</f>
        <v>0</v>
      </c>
      <c r="Z6" s="95">
        <f>IFERROR(VLOOKUP(Z$3,CapitalDebtMonth:CapitalShort,2,FALSE),0)</f>
        <v>0</v>
      </c>
      <c r="AA6" s="95">
        <f>IFERROR(VLOOKUP(AA$3,CapitalDebtMonth:CapitalShort,2,FALSE),0)</f>
        <v>0</v>
      </c>
      <c r="AB6" s="95">
        <f>IFERROR(VLOOKUP(AB$3,CapitalDebtMonth:CapitalShort,2,FALSE),0)</f>
        <v>0</v>
      </c>
      <c r="AC6" s="95">
        <f>IFERROR(VLOOKUP(AC$3,CapitalDebtMonth:CapitalShort,2,FALSE),0)</f>
        <v>0</v>
      </c>
      <c r="AD6" s="95">
        <f>IFERROR(VLOOKUP(AD$3,CapitalDebtMonth:CapitalShort,2,FALSE),0)</f>
        <v>0</v>
      </c>
      <c r="AE6" s="95">
        <f>IFERROR(VLOOKUP(AE$3,CapitalDebtMonth:CapitalShort,2,FALSE),0)</f>
        <v>0</v>
      </c>
      <c r="AF6" s="95">
        <f>IFERROR(VLOOKUP(AF$3,CapitalDebtMonth:CapitalShort,2,FALSE),0)</f>
        <v>0</v>
      </c>
      <c r="AG6" s="95">
        <f>IFERROR(VLOOKUP(AG$3,CapitalDebtMonth:CapitalShort,2,FALSE),0)</f>
        <v>0</v>
      </c>
      <c r="AH6" s="103">
        <f>IFERROR(VLOOKUP(AH$3,CapitalDebtMonth:CapitalShort,2,FALSE),0)</f>
        <v>0</v>
      </c>
      <c r="AI6" s="94">
        <f>IFERROR(VLOOKUP(AI$3,CapitalDebtMonth:CapitalShort,2,FALSE),0)</f>
        <v>0</v>
      </c>
      <c r="AJ6" s="95">
        <f>IFERROR(VLOOKUP(AJ$3,CapitalDebtMonth:CapitalShort,2,FALSE),0)</f>
        <v>0</v>
      </c>
      <c r="AK6" s="95">
        <f>IFERROR(VLOOKUP(AK$3,CapitalDebtMonth:CapitalShort,2,FALSE),0)</f>
        <v>0</v>
      </c>
      <c r="AL6" s="95">
        <f>IFERROR(VLOOKUP(AL$3,CapitalDebtMonth:CapitalShort,2,FALSE),0)</f>
        <v>0</v>
      </c>
      <c r="AM6" s="95">
        <f>IFERROR(VLOOKUP(AM$3,CapitalDebtMonth:CapitalShort,2,FALSE),0)</f>
        <v>0</v>
      </c>
      <c r="AN6" s="95">
        <f>IFERROR(VLOOKUP(AN$3,CapitalDebtMonth:CapitalShort,2,FALSE),0)</f>
        <v>0</v>
      </c>
      <c r="AO6" s="95">
        <f>IFERROR(VLOOKUP(AO$3,CapitalDebtMonth:CapitalShort,2,FALSE),0)</f>
        <v>0</v>
      </c>
      <c r="AP6" s="95">
        <f>IFERROR(VLOOKUP(AP$3,CapitalDebtMonth:CapitalShort,2,FALSE),0)</f>
        <v>0</v>
      </c>
      <c r="AQ6" s="95">
        <f>IFERROR(VLOOKUP(AQ$3,CapitalDebtMonth:CapitalShort,2,FALSE),0)</f>
        <v>0</v>
      </c>
      <c r="AR6" s="95">
        <f>IFERROR(VLOOKUP(AR$3,CapitalDebtMonth:CapitalShort,2,FALSE),0)</f>
        <v>0</v>
      </c>
      <c r="AS6" s="95">
        <f>IFERROR(VLOOKUP(AS$3,CapitalDebtMonth:CapitalShort,2,FALSE),0)</f>
        <v>0</v>
      </c>
      <c r="AT6" s="103">
        <f>IFERROR(VLOOKUP(AT$3,CapitalDebtMonth:CapitalShort,2,FALSE),0)</f>
        <v>0</v>
      </c>
      <c r="AU6" s="94">
        <f>IFERROR(VLOOKUP(AU$3,CapitalDebtMonth:CapitalShort,2,FALSE),0)</f>
        <v>0</v>
      </c>
      <c r="AV6" s="95">
        <f>IFERROR(VLOOKUP(AV$3,CapitalDebtMonth:CapitalShort,2,FALSE),0)</f>
        <v>0</v>
      </c>
      <c r="AW6" s="95">
        <f>IFERROR(VLOOKUP(AW$3,CapitalDebtMonth:CapitalShort,2,FALSE),0)</f>
        <v>0</v>
      </c>
      <c r="AX6" s="95">
        <f>IFERROR(VLOOKUP(AX$3,CapitalDebtMonth:CapitalShort,2,FALSE),0)</f>
        <v>0</v>
      </c>
      <c r="AY6" s="95">
        <f>IFERROR(VLOOKUP(AY$3,CapitalDebtMonth:CapitalShort,2,FALSE),0)</f>
        <v>0</v>
      </c>
      <c r="AZ6" s="95">
        <f>IFERROR(VLOOKUP(AZ$3,CapitalDebtMonth:CapitalShort,2,FALSE),0)</f>
        <v>0</v>
      </c>
      <c r="BA6" s="95">
        <f>IFERROR(VLOOKUP(BA$3,CapitalDebtMonth:CapitalShort,2,FALSE),0)</f>
        <v>0</v>
      </c>
      <c r="BB6" s="95">
        <f>IFERROR(VLOOKUP(BB$3,CapitalDebtMonth:CapitalShort,2,FALSE),0)</f>
        <v>0</v>
      </c>
      <c r="BC6" s="95">
        <f>IFERROR(VLOOKUP(BC$3,CapitalDebtMonth:CapitalShort,2,FALSE),0)</f>
        <v>0</v>
      </c>
      <c r="BD6" s="95">
        <f>IFERROR(VLOOKUP(BD$3,CapitalDebtMonth:CapitalShort,2,FALSE),0)</f>
        <v>0</v>
      </c>
      <c r="BE6" s="95">
        <f>IFERROR(VLOOKUP(BE$3,CapitalDebtMonth:CapitalShort,2,FALSE),0)</f>
        <v>0</v>
      </c>
      <c r="BF6" s="103">
        <f>IFERROR(VLOOKUP(BF$3,CapitalDebtMonth:CapitalShort,2,FALSE),0)</f>
        <v>0</v>
      </c>
      <c r="BG6" s="94">
        <f>IFERROR(VLOOKUP(BG$3,CapitalDebtMonth:CapitalShort,2,FALSE),0)</f>
        <v>0</v>
      </c>
      <c r="BH6" s="95">
        <f>IFERROR(VLOOKUP(BH$3,CapitalDebtMonth:CapitalShort,2,FALSE),0)</f>
        <v>0</v>
      </c>
      <c r="BI6" s="95">
        <f>IFERROR(VLOOKUP(BI$3,CapitalDebtMonth:CapitalShort,2,FALSE),0)</f>
        <v>0</v>
      </c>
      <c r="BJ6" s="95">
        <f>IFERROR(VLOOKUP(BJ$3,CapitalDebtMonth:CapitalShort,2,FALSE),0)</f>
        <v>0</v>
      </c>
      <c r="BK6" s="95">
        <f>IFERROR(VLOOKUP(BK$3,CapitalDebtMonth:CapitalShort,2,FALSE),0)</f>
        <v>0</v>
      </c>
      <c r="BL6" s="95">
        <f>IFERROR(VLOOKUP(BL$3,CapitalDebtMonth:CapitalShort,2,FALSE),0)</f>
        <v>0</v>
      </c>
      <c r="BM6" s="95">
        <f>IFERROR(VLOOKUP(BM$3,CapitalDebtMonth:CapitalShort,2,FALSE),0)</f>
        <v>0</v>
      </c>
      <c r="BN6" s="95">
        <f>IFERROR(VLOOKUP(BN$3,CapitalDebtMonth:CapitalShort,2,FALSE),0)</f>
        <v>0</v>
      </c>
      <c r="BO6" s="95">
        <f>IFERROR(VLOOKUP(BO$3,CapitalDebtMonth:CapitalShort,2,FALSE),0)</f>
        <v>0</v>
      </c>
      <c r="BP6" s="95">
        <f>IFERROR(VLOOKUP(BP$3,CapitalDebtMonth:CapitalShort,2,FALSE),0)</f>
        <v>0</v>
      </c>
      <c r="BQ6" s="95">
        <f>IFERROR(VLOOKUP(BQ$3,CapitalDebtMonth:CapitalShort,2,FALSE),0)</f>
        <v>0</v>
      </c>
      <c r="BR6" s="103">
        <f>IFERROR(VLOOKUP(BR$3,CapitalDebtMonth:CapitalShort,2,FALSE),0)</f>
        <v>0</v>
      </c>
    </row>
    <row r="7" spans="1:70" s="93" customFormat="1" hidden="1" x14ac:dyDescent="0.3">
      <c r="A7" s="120"/>
      <c r="B7" s="267" t="s">
        <v>129</v>
      </c>
      <c r="E7" s="134">
        <f t="shared" si="0"/>
        <v>0</v>
      </c>
      <c r="F7" s="134">
        <f t="shared" si="1"/>
        <v>0</v>
      </c>
      <c r="G7" s="134">
        <f t="shared" si="2"/>
        <v>0</v>
      </c>
      <c r="H7" s="134">
        <f t="shared" si="3"/>
        <v>0</v>
      </c>
      <c r="I7" s="134">
        <f t="shared" si="4"/>
        <v>0</v>
      </c>
      <c r="K7" s="106">
        <f>IFERROR(VLOOKUP(K$3,CapitalDebtMonth:CapitalLong,3,FALSE),0)</f>
        <v>0</v>
      </c>
      <c r="L7" s="106">
        <f>IFERROR(VLOOKUP(L$3,CapitalDebtMonth:CapitalLong,3,FALSE),0)</f>
        <v>0</v>
      </c>
      <c r="M7" s="106">
        <f>IFERROR(VLOOKUP(M$3,CapitalDebtMonth:CapitalLong,3,FALSE),0)</f>
        <v>0</v>
      </c>
      <c r="N7" s="106">
        <f>IFERROR(VLOOKUP(N$3,CapitalDebtMonth:CapitalLong,3,FALSE),0)</f>
        <v>0</v>
      </c>
      <c r="O7" s="106">
        <f>IFERROR(VLOOKUP(O$3,CapitalDebtMonth:CapitalLong,3,FALSE),0)</f>
        <v>0</v>
      </c>
      <c r="P7" s="106">
        <f>IFERROR(VLOOKUP(P$3,CapitalDebtMonth:CapitalLong,3,FALSE),0)</f>
        <v>0</v>
      </c>
      <c r="Q7" s="106">
        <f>IFERROR(VLOOKUP(Q$3,CapitalDebtMonth:CapitalLong,3,FALSE),0)</f>
        <v>0</v>
      </c>
      <c r="R7" s="106">
        <f>IFERROR(VLOOKUP(R$3,CapitalDebtMonth:CapitalLong,3,FALSE),0)</f>
        <v>0</v>
      </c>
      <c r="S7" s="106">
        <f>IFERROR(VLOOKUP(S$3,CapitalDebtMonth:CapitalLong,3,FALSE),0)</f>
        <v>0</v>
      </c>
      <c r="T7" s="106">
        <f>IFERROR(VLOOKUP(T$3,CapitalDebtMonth:CapitalLong,3,FALSE),0)</f>
        <v>0</v>
      </c>
      <c r="U7" s="106">
        <f>IFERROR(VLOOKUP(U$3,CapitalDebtMonth:CapitalLong,3,FALSE),0)</f>
        <v>0</v>
      </c>
      <c r="V7" s="293">
        <f>IFERROR(VLOOKUP(V$3,CapitalDebtMonth:CapitalLong,3,FALSE),0)</f>
        <v>0</v>
      </c>
      <c r="W7" s="106">
        <f>IFERROR(VLOOKUP(W$3,CapitalDebtMonth:CapitalLong,3,FALSE),0)</f>
        <v>0</v>
      </c>
      <c r="X7" s="106">
        <f>IFERROR(VLOOKUP(X$3,CapitalDebtMonth:CapitalLong,3,FALSE),0)</f>
        <v>0</v>
      </c>
      <c r="Y7" s="106">
        <f>IFERROR(VLOOKUP(Y$3,CapitalDebtMonth:CapitalLong,3,FALSE),0)</f>
        <v>0</v>
      </c>
      <c r="Z7" s="106">
        <f>IFERROR(VLOOKUP(Z$3,CapitalDebtMonth:CapitalLong,3,FALSE),0)</f>
        <v>0</v>
      </c>
      <c r="AA7" s="106">
        <f>IFERROR(VLOOKUP(AA$3,CapitalDebtMonth:CapitalLong,3,FALSE),0)</f>
        <v>0</v>
      </c>
      <c r="AB7" s="106">
        <f>IFERROR(VLOOKUP(AB$3,CapitalDebtMonth:CapitalLong,3,FALSE),0)</f>
        <v>0</v>
      </c>
      <c r="AC7" s="106">
        <f>IFERROR(VLOOKUP(AC$3,CapitalDebtMonth:CapitalLong,3,FALSE),0)</f>
        <v>0</v>
      </c>
      <c r="AD7" s="106">
        <f>IFERROR(VLOOKUP(AD$3,CapitalDebtMonth:CapitalLong,3,FALSE),0)</f>
        <v>0</v>
      </c>
      <c r="AE7" s="106">
        <f>IFERROR(VLOOKUP(AE$3,CapitalDebtMonth:CapitalLong,3,FALSE),0)</f>
        <v>0</v>
      </c>
      <c r="AF7" s="106">
        <f>IFERROR(VLOOKUP(AF$3,CapitalDebtMonth:CapitalLong,3,FALSE),0)</f>
        <v>0</v>
      </c>
      <c r="AG7" s="106">
        <f>IFERROR(VLOOKUP(AG$3,CapitalDebtMonth:CapitalLong,3,FALSE),0)</f>
        <v>0</v>
      </c>
      <c r="AH7" s="293">
        <f>IFERROR(VLOOKUP(AH$3,CapitalDebtMonth:CapitalLong,3,FALSE),0)</f>
        <v>0</v>
      </c>
      <c r="AI7" s="106">
        <f>IFERROR(VLOOKUP(AI$3,CapitalDebtMonth:CapitalLong,3,FALSE),0)</f>
        <v>0</v>
      </c>
      <c r="AJ7" s="106">
        <f>IFERROR(VLOOKUP(AJ$3,CapitalDebtMonth:CapitalLong,3,FALSE),0)</f>
        <v>0</v>
      </c>
      <c r="AK7" s="106">
        <f>IFERROR(VLOOKUP(AK$3,CapitalDebtMonth:CapitalLong,3,FALSE),0)</f>
        <v>0</v>
      </c>
      <c r="AL7" s="106">
        <f>IFERROR(VLOOKUP(AL$3,CapitalDebtMonth:CapitalLong,3,FALSE),0)</f>
        <v>0</v>
      </c>
      <c r="AM7" s="106">
        <f>IFERROR(VLOOKUP(AM$3,CapitalDebtMonth:CapitalLong,3,FALSE),0)</f>
        <v>0</v>
      </c>
      <c r="AN7" s="106">
        <f>IFERROR(VLOOKUP(AN$3,CapitalDebtMonth:CapitalLong,3,FALSE),0)</f>
        <v>0</v>
      </c>
      <c r="AO7" s="106">
        <f>IFERROR(VLOOKUP(AO$3,CapitalDebtMonth:CapitalLong,3,FALSE),0)</f>
        <v>0</v>
      </c>
      <c r="AP7" s="106">
        <f>IFERROR(VLOOKUP(AP$3,CapitalDebtMonth:CapitalLong,3,FALSE),0)</f>
        <v>0</v>
      </c>
      <c r="AQ7" s="106">
        <f>IFERROR(VLOOKUP(AQ$3,CapitalDebtMonth:CapitalLong,3,FALSE),0)</f>
        <v>0</v>
      </c>
      <c r="AR7" s="106">
        <f>IFERROR(VLOOKUP(AR$3,CapitalDebtMonth:CapitalLong,3,FALSE),0)</f>
        <v>0</v>
      </c>
      <c r="AS7" s="106">
        <f>IFERROR(VLOOKUP(AS$3,CapitalDebtMonth:CapitalLong,3,FALSE),0)</f>
        <v>0</v>
      </c>
      <c r="AT7" s="293">
        <f>IFERROR(VLOOKUP(AT$3,CapitalDebtMonth:CapitalLong,3,FALSE),0)</f>
        <v>0</v>
      </c>
      <c r="AU7" s="106">
        <f>IFERROR(VLOOKUP(AU$3,CapitalDebtMonth:CapitalLong,3,FALSE),0)</f>
        <v>0</v>
      </c>
      <c r="AV7" s="106">
        <f>IFERROR(VLOOKUP(AV$3,CapitalDebtMonth:CapitalLong,3,FALSE),0)</f>
        <v>0</v>
      </c>
      <c r="AW7" s="106">
        <f>IFERROR(VLOOKUP(AW$3,CapitalDebtMonth:CapitalLong,3,FALSE),0)</f>
        <v>0</v>
      </c>
      <c r="AX7" s="106">
        <f>IFERROR(VLOOKUP(AX$3,CapitalDebtMonth:CapitalLong,3,FALSE),0)</f>
        <v>0</v>
      </c>
      <c r="AY7" s="106">
        <f>IFERROR(VLOOKUP(AY$3,CapitalDebtMonth:CapitalLong,3,FALSE),0)</f>
        <v>0</v>
      </c>
      <c r="AZ7" s="106">
        <f>IFERROR(VLOOKUP(AZ$3,CapitalDebtMonth:CapitalLong,3,FALSE),0)</f>
        <v>0</v>
      </c>
      <c r="BA7" s="106">
        <f>IFERROR(VLOOKUP(BA$3,CapitalDebtMonth:CapitalLong,3,FALSE),0)</f>
        <v>0</v>
      </c>
      <c r="BB7" s="106">
        <f>IFERROR(VLOOKUP(BB$3,CapitalDebtMonth:CapitalLong,3,FALSE),0)</f>
        <v>0</v>
      </c>
      <c r="BC7" s="106">
        <f>IFERROR(VLOOKUP(BC$3,CapitalDebtMonth:CapitalLong,3,FALSE),0)</f>
        <v>0</v>
      </c>
      <c r="BD7" s="106">
        <f>IFERROR(VLOOKUP(BD$3,CapitalDebtMonth:CapitalLong,3,FALSE),0)</f>
        <v>0</v>
      </c>
      <c r="BE7" s="106">
        <f>IFERROR(VLOOKUP(BE$3,CapitalDebtMonth:CapitalLong,3,FALSE),0)</f>
        <v>0</v>
      </c>
      <c r="BF7" s="293">
        <f>IFERROR(VLOOKUP(BF$3,CapitalDebtMonth:CapitalLong,3,FALSE),0)</f>
        <v>0</v>
      </c>
      <c r="BG7" s="106">
        <f>IFERROR(VLOOKUP(BG$3,CapitalDebtMonth:CapitalLong,3,FALSE),0)</f>
        <v>0</v>
      </c>
      <c r="BH7" s="106">
        <f>IFERROR(VLOOKUP(BH$3,CapitalDebtMonth:CapitalLong,3,FALSE),0)</f>
        <v>0</v>
      </c>
      <c r="BI7" s="106">
        <f>IFERROR(VLOOKUP(BI$3,CapitalDebtMonth:CapitalLong,3,FALSE),0)</f>
        <v>0</v>
      </c>
      <c r="BJ7" s="106">
        <f>IFERROR(VLOOKUP(BJ$3,CapitalDebtMonth:CapitalLong,3,FALSE),0)</f>
        <v>0</v>
      </c>
      <c r="BK7" s="106">
        <f>IFERROR(VLOOKUP(BK$3,CapitalDebtMonth:CapitalLong,3,FALSE),0)</f>
        <v>0</v>
      </c>
      <c r="BL7" s="106">
        <f>IFERROR(VLOOKUP(BL$3,CapitalDebtMonth:CapitalLong,3,FALSE),0)</f>
        <v>0</v>
      </c>
      <c r="BM7" s="106">
        <f>IFERROR(VLOOKUP(BM$3,CapitalDebtMonth:CapitalLong,3,FALSE),0)</f>
        <v>0</v>
      </c>
      <c r="BN7" s="106">
        <f>IFERROR(VLOOKUP(BN$3,CapitalDebtMonth:CapitalLong,3,FALSE),0)</f>
        <v>0</v>
      </c>
      <c r="BO7" s="106">
        <f>IFERROR(VLOOKUP(BO$3,CapitalDebtMonth:CapitalLong,3,FALSE),0)</f>
        <v>0</v>
      </c>
      <c r="BP7" s="106">
        <f>IFERROR(VLOOKUP(BP$3,CapitalDebtMonth:CapitalLong,3,FALSE),0)</f>
        <v>0</v>
      </c>
      <c r="BQ7" s="106">
        <f>IFERROR(VLOOKUP(BQ$3,CapitalDebtMonth:CapitalLong,3,FALSE),0)</f>
        <v>0</v>
      </c>
      <c r="BR7" s="293">
        <f>IFERROR(VLOOKUP(BR$3,CapitalDebtMonth:CapitalLong,3,FALSE),0)</f>
        <v>0</v>
      </c>
    </row>
    <row r="8" spans="1:70" s="93" customFormat="1" x14ac:dyDescent="0.3">
      <c r="A8" s="120"/>
      <c r="B8" s="259" t="s">
        <v>136</v>
      </c>
      <c r="E8" s="94">
        <f t="shared" si="0"/>
        <v>50</v>
      </c>
      <c r="F8" s="94">
        <f t="shared" si="1"/>
        <v>0</v>
      </c>
      <c r="G8" s="94">
        <f t="shared" si="2"/>
        <v>0</v>
      </c>
      <c r="H8" s="94">
        <f t="shared" si="3"/>
        <v>0</v>
      </c>
      <c r="I8" s="94">
        <f t="shared" si="4"/>
        <v>0</v>
      </c>
      <c r="K8" s="94">
        <f t="shared" ref="K8:AF8" si="44">SUM(K6:K7)</f>
        <v>0</v>
      </c>
      <c r="L8" s="95">
        <f t="shared" si="44"/>
        <v>0</v>
      </c>
      <c r="M8" s="95">
        <f t="shared" si="44"/>
        <v>0</v>
      </c>
      <c r="N8" s="95">
        <f t="shared" si="44"/>
        <v>0</v>
      </c>
      <c r="O8" s="95">
        <f t="shared" si="44"/>
        <v>0</v>
      </c>
      <c r="P8" s="95">
        <f t="shared" si="44"/>
        <v>25</v>
      </c>
      <c r="Q8" s="95">
        <f t="shared" si="44"/>
        <v>0</v>
      </c>
      <c r="R8" s="95">
        <f t="shared" si="44"/>
        <v>0</v>
      </c>
      <c r="S8" s="95">
        <f t="shared" si="44"/>
        <v>25</v>
      </c>
      <c r="T8" s="95">
        <f t="shared" si="44"/>
        <v>0</v>
      </c>
      <c r="U8" s="95">
        <f t="shared" si="44"/>
        <v>0</v>
      </c>
      <c r="V8" s="103">
        <f t="shared" si="44"/>
        <v>0</v>
      </c>
      <c r="W8" s="94">
        <f t="shared" si="44"/>
        <v>0</v>
      </c>
      <c r="X8" s="95">
        <f t="shared" si="44"/>
        <v>0</v>
      </c>
      <c r="Y8" s="95">
        <f t="shared" si="44"/>
        <v>0</v>
      </c>
      <c r="Z8" s="95">
        <f t="shared" si="44"/>
        <v>0</v>
      </c>
      <c r="AA8" s="95">
        <f t="shared" si="44"/>
        <v>0</v>
      </c>
      <c r="AB8" s="95">
        <f t="shared" si="44"/>
        <v>0</v>
      </c>
      <c r="AC8" s="95">
        <f t="shared" si="44"/>
        <v>0</v>
      </c>
      <c r="AD8" s="95">
        <f t="shared" si="44"/>
        <v>0</v>
      </c>
      <c r="AE8" s="95">
        <f t="shared" si="44"/>
        <v>0</v>
      </c>
      <c r="AF8" s="95">
        <f t="shared" si="44"/>
        <v>0</v>
      </c>
      <c r="AG8" s="95">
        <f t="shared" ref="AG8:BR8" si="45">SUM(AG6:AG7)</f>
        <v>0</v>
      </c>
      <c r="AH8" s="103">
        <f t="shared" si="45"/>
        <v>0</v>
      </c>
      <c r="AI8" s="94">
        <f t="shared" si="45"/>
        <v>0</v>
      </c>
      <c r="AJ8" s="95">
        <f t="shared" si="45"/>
        <v>0</v>
      </c>
      <c r="AK8" s="95">
        <f t="shared" si="45"/>
        <v>0</v>
      </c>
      <c r="AL8" s="95">
        <f t="shared" si="45"/>
        <v>0</v>
      </c>
      <c r="AM8" s="95">
        <f t="shared" si="45"/>
        <v>0</v>
      </c>
      <c r="AN8" s="95">
        <f t="shared" si="45"/>
        <v>0</v>
      </c>
      <c r="AO8" s="95">
        <f t="shared" si="45"/>
        <v>0</v>
      </c>
      <c r="AP8" s="95">
        <f t="shared" si="45"/>
        <v>0</v>
      </c>
      <c r="AQ8" s="95">
        <f t="shared" si="45"/>
        <v>0</v>
      </c>
      <c r="AR8" s="95">
        <f t="shared" si="45"/>
        <v>0</v>
      </c>
      <c r="AS8" s="95">
        <f t="shared" si="45"/>
        <v>0</v>
      </c>
      <c r="AT8" s="103">
        <f t="shared" si="45"/>
        <v>0</v>
      </c>
      <c r="AU8" s="94">
        <f t="shared" si="45"/>
        <v>0</v>
      </c>
      <c r="AV8" s="95">
        <f t="shared" si="45"/>
        <v>0</v>
      </c>
      <c r="AW8" s="95">
        <f t="shared" si="45"/>
        <v>0</v>
      </c>
      <c r="AX8" s="95">
        <f t="shared" si="45"/>
        <v>0</v>
      </c>
      <c r="AY8" s="95">
        <f t="shared" si="45"/>
        <v>0</v>
      </c>
      <c r="AZ8" s="95">
        <f t="shared" si="45"/>
        <v>0</v>
      </c>
      <c r="BA8" s="95">
        <f t="shared" si="45"/>
        <v>0</v>
      </c>
      <c r="BB8" s="95">
        <f t="shared" si="45"/>
        <v>0</v>
      </c>
      <c r="BC8" s="95">
        <f t="shared" si="45"/>
        <v>0</v>
      </c>
      <c r="BD8" s="95">
        <f t="shared" si="45"/>
        <v>0</v>
      </c>
      <c r="BE8" s="95">
        <f t="shared" si="45"/>
        <v>0</v>
      </c>
      <c r="BF8" s="103">
        <f t="shared" si="45"/>
        <v>0</v>
      </c>
      <c r="BG8" s="94">
        <f t="shared" si="45"/>
        <v>0</v>
      </c>
      <c r="BH8" s="95">
        <f t="shared" si="45"/>
        <v>0</v>
      </c>
      <c r="BI8" s="95">
        <f t="shared" si="45"/>
        <v>0</v>
      </c>
      <c r="BJ8" s="95">
        <f t="shared" si="45"/>
        <v>0</v>
      </c>
      <c r="BK8" s="95">
        <f t="shared" si="45"/>
        <v>0</v>
      </c>
      <c r="BL8" s="95">
        <f t="shared" si="45"/>
        <v>0</v>
      </c>
      <c r="BM8" s="95">
        <f t="shared" si="45"/>
        <v>0</v>
      </c>
      <c r="BN8" s="95">
        <f t="shared" si="45"/>
        <v>0</v>
      </c>
      <c r="BO8" s="95">
        <f t="shared" si="45"/>
        <v>0</v>
      </c>
      <c r="BP8" s="95">
        <f t="shared" si="45"/>
        <v>0</v>
      </c>
      <c r="BQ8" s="95">
        <f t="shared" si="45"/>
        <v>0</v>
      </c>
      <c r="BR8" s="103">
        <f t="shared" si="45"/>
        <v>0</v>
      </c>
    </row>
    <row r="9" spans="1:70" s="93" customFormat="1" hidden="1" x14ac:dyDescent="0.3">
      <c r="A9" s="120"/>
      <c r="B9" s="259" t="s">
        <v>137</v>
      </c>
      <c r="E9" s="94">
        <f t="shared" si="0"/>
        <v>10</v>
      </c>
      <c r="F9" s="94">
        <f t="shared" si="1"/>
        <v>0</v>
      </c>
      <c r="G9" s="94">
        <f t="shared" si="2"/>
        <v>0</v>
      </c>
      <c r="H9" s="94">
        <f t="shared" si="3"/>
        <v>0</v>
      </c>
      <c r="I9" s="94">
        <f t="shared" si="4"/>
        <v>0</v>
      </c>
      <c r="K9" s="94">
        <f>IFERROR(VLOOKUP(K$3,CapitalEquityMonth:CapitalPreferred,2,FALSE),0)</f>
        <v>0</v>
      </c>
      <c r="L9" s="95">
        <f>IFERROR(VLOOKUP(L$3,CapitalEquityMonth:CapitalPreferred,2,FALSE),0)</f>
        <v>0</v>
      </c>
      <c r="M9" s="95">
        <f>IFERROR(VLOOKUP(M$3,CapitalEquityMonth:CapitalPreferred,2,FALSE),0)</f>
        <v>0</v>
      </c>
      <c r="N9" s="95">
        <f>IFERROR(VLOOKUP(N$3,CapitalEquityMonth:CapitalPreferred,2,FALSE),0)</f>
        <v>0</v>
      </c>
      <c r="O9" s="95">
        <f>IFERROR(VLOOKUP(O$3,CapitalEquityMonth:CapitalPreferred,2,FALSE),0)</f>
        <v>0</v>
      </c>
      <c r="P9" s="95">
        <f>IFERROR(VLOOKUP(P$3,CapitalEquityMonth:CapitalPreferred,2,FALSE),0)</f>
        <v>10</v>
      </c>
      <c r="Q9" s="95">
        <f>IFERROR(VLOOKUP(Q$3,CapitalEquityMonth:CapitalPreferred,2,FALSE),0)</f>
        <v>0</v>
      </c>
      <c r="R9" s="95">
        <f>IFERROR(VLOOKUP(R$3,CapitalEquityMonth:CapitalPreferred,2,FALSE),0)</f>
        <v>0</v>
      </c>
      <c r="S9" s="95">
        <f>IFERROR(VLOOKUP(S$3,CapitalEquityMonth:CapitalPreferred,2,FALSE),0)</f>
        <v>0</v>
      </c>
      <c r="T9" s="95">
        <f>IFERROR(VLOOKUP(T$3,CapitalEquityMonth:CapitalPreferred,2,FALSE),0)</f>
        <v>0</v>
      </c>
      <c r="U9" s="95">
        <f>IFERROR(VLOOKUP(U$3,CapitalEquityMonth:CapitalPreferred,2,FALSE),0)</f>
        <v>0</v>
      </c>
      <c r="V9" s="103">
        <f>IFERROR(VLOOKUP(V$3,CapitalEquityMonth:CapitalPreferred,2,FALSE),0)</f>
        <v>0</v>
      </c>
      <c r="W9" s="94">
        <f>IFERROR(VLOOKUP(W$3,CapitalEquityMonth:CapitalPreferred,2,FALSE),0)</f>
        <v>0</v>
      </c>
      <c r="X9" s="95">
        <f>IFERROR(VLOOKUP(X$3,CapitalEquityMonth:CapitalPreferred,2,FALSE),0)</f>
        <v>0</v>
      </c>
      <c r="Y9" s="95">
        <f>IFERROR(VLOOKUP(Y$3,CapitalEquityMonth:CapitalPreferred,2,FALSE),0)</f>
        <v>0</v>
      </c>
      <c r="Z9" s="95">
        <f>IFERROR(VLOOKUP(Z$3,CapitalEquityMonth:CapitalPreferred,2,FALSE),0)</f>
        <v>0</v>
      </c>
      <c r="AA9" s="95">
        <f>IFERROR(VLOOKUP(AA$3,CapitalEquityMonth:CapitalPreferred,2,FALSE),0)</f>
        <v>0</v>
      </c>
      <c r="AB9" s="95">
        <f>IFERROR(VLOOKUP(AB$3,CapitalEquityMonth:CapitalPreferred,2,FALSE),0)</f>
        <v>0</v>
      </c>
      <c r="AC9" s="95">
        <f>IFERROR(VLOOKUP(AC$3,CapitalEquityMonth:CapitalPreferred,2,FALSE),0)</f>
        <v>0</v>
      </c>
      <c r="AD9" s="95">
        <f>IFERROR(VLOOKUP(AD$3,CapitalEquityMonth:CapitalPreferred,2,FALSE),0)</f>
        <v>0</v>
      </c>
      <c r="AE9" s="95">
        <f>IFERROR(VLOOKUP(AE$3,CapitalEquityMonth:CapitalPreferred,2,FALSE),0)</f>
        <v>0</v>
      </c>
      <c r="AF9" s="95">
        <f>IFERROR(VLOOKUP(AF$3,CapitalEquityMonth:CapitalPreferred,2,FALSE),0)</f>
        <v>0</v>
      </c>
      <c r="AG9" s="95">
        <f>IFERROR(VLOOKUP(AG$3,CapitalEquityMonth:CapitalPreferred,2,FALSE),0)</f>
        <v>0</v>
      </c>
      <c r="AH9" s="103">
        <f>IFERROR(VLOOKUP(AH$3,CapitalEquityMonth:CapitalPreferred,2,FALSE),0)</f>
        <v>0</v>
      </c>
      <c r="AI9" s="94">
        <f>IFERROR(VLOOKUP(AI$3,CapitalEquityMonth:CapitalPreferred,2,FALSE),0)</f>
        <v>0</v>
      </c>
      <c r="AJ9" s="95">
        <f>IFERROR(VLOOKUP(AJ$3,CapitalEquityMonth:CapitalPreferred,2,FALSE),0)</f>
        <v>0</v>
      </c>
      <c r="AK9" s="95">
        <f>IFERROR(VLOOKUP(AK$3,CapitalEquityMonth:CapitalPreferred,2,FALSE),0)</f>
        <v>0</v>
      </c>
      <c r="AL9" s="95">
        <f>IFERROR(VLOOKUP(AL$3,CapitalEquityMonth:CapitalPreferred,2,FALSE),0)</f>
        <v>0</v>
      </c>
      <c r="AM9" s="95">
        <f>IFERROR(VLOOKUP(AM$3,CapitalEquityMonth:CapitalPreferred,2,FALSE),0)</f>
        <v>0</v>
      </c>
      <c r="AN9" s="95">
        <f>IFERROR(VLOOKUP(AN$3,CapitalEquityMonth:CapitalPreferred,2,FALSE),0)</f>
        <v>0</v>
      </c>
      <c r="AO9" s="95">
        <f>IFERROR(VLOOKUP(AO$3,CapitalEquityMonth:CapitalPreferred,2,FALSE),0)</f>
        <v>0</v>
      </c>
      <c r="AP9" s="95">
        <f>IFERROR(VLOOKUP(AP$3,CapitalEquityMonth:CapitalPreferred,2,FALSE),0)</f>
        <v>0</v>
      </c>
      <c r="AQ9" s="95">
        <f>IFERROR(VLOOKUP(AQ$3,CapitalEquityMonth:CapitalPreferred,2,FALSE),0)</f>
        <v>0</v>
      </c>
      <c r="AR9" s="95">
        <f>IFERROR(VLOOKUP(AR$3,CapitalEquityMonth:CapitalPreferred,2,FALSE),0)</f>
        <v>0</v>
      </c>
      <c r="AS9" s="95">
        <f>IFERROR(VLOOKUP(AS$3,CapitalEquityMonth:CapitalPreferred,2,FALSE),0)</f>
        <v>0</v>
      </c>
      <c r="AT9" s="103">
        <f>IFERROR(VLOOKUP(AT$3,CapitalEquityMonth:CapitalPreferred,2,FALSE),0)</f>
        <v>0</v>
      </c>
      <c r="AU9" s="94">
        <f>IFERROR(VLOOKUP(AU$3,CapitalEquityMonth:CapitalPreferred,2,FALSE),0)</f>
        <v>0</v>
      </c>
      <c r="AV9" s="95">
        <f>IFERROR(VLOOKUP(AV$3,CapitalEquityMonth:CapitalPreferred,2,FALSE),0)</f>
        <v>0</v>
      </c>
      <c r="AW9" s="95">
        <f>IFERROR(VLOOKUP(AW$3,CapitalEquityMonth:CapitalPreferred,2,FALSE),0)</f>
        <v>0</v>
      </c>
      <c r="AX9" s="95">
        <f>IFERROR(VLOOKUP(AX$3,CapitalEquityMonth:CapitalPreferred,2,FALSE),0)</f>
        <v>0</v>
      </c>
      <c r="AY9" s="95">
        <f>IFERROR(VLOOKUP(AY$3,CapitalEquityMonth:CapitalPreferred,2,FALSE),0)</f>
        <v>0</v>
      </c>
      <c r="AZ9" s="95">
        <f>IFERROR(VLOOKUP(AZ$3,CapitalEquityMonth:CapitalPreferred,2,FALSE),0)</f>
        <v>0</v>
      </c>
      <c r="BA9" s="95">
        <f>IFERROR(VLOOKUP(BA$3,CapitalEquityMonth:CapitalPreferred,2,FALSE),0)</f>
        <v>0</v>
      </c>
      <c r="BB9" s="95">
        <f>IFERROR(VLOOKUP(BB$3,CapitalEquityMonth:CapitalPreferred,2,FALSE),0)</f>
        <v>0</v>
      </c>
      <c r="BC9" s="95">
        <f>IFERROR(VLOOKUP(BC$3,CapitalEquityMonth:CapitalPreferred,2,FALSE),0)</f>
        <v>0</v>
      </c>
      <c r="BD9" s="95">
        <f>IFERROR(VLOOKUP(BD$3,CapitalEquityMonth:CapitalPreferred,2,FALSE),0)</f>
        <v>0</v>
      </c>
      <c r="BE9" s="95">
        <f>IFERROR(VLOOKUP(BE$3,CapitalEquityMonth:CapitalPreferred,2,FALSE),0)</f>
        <v>0</v>
      </c>
      <c r="BF9" s="103">
        <f>IFERROR(VLOOKUP(BF$3,CapitalEquityMonth:CapitalPreferred,2,FALSE),0)</f>
        <v>0</v>
      </c>
      <c r="BG9" s="94">
        <f>IFERROR(VLOOKUP(BG$3,CapitalEquityMonth:CapitalPreferred,2,FALSE),0)</f>
        <v>0</v>
      </c>
      <c r="BH9" s="95">
        <f>IFERROR(VLOOKUP(BH$3,CapitalEquityMonth:CapitalPreferred,2,FALSE),0)</f>
        <v>0</v>
      </c>
      <c r="BI9" s="95">
        <f>IFERROR(VLOOKUP(BI$3,CapitalEquityMonth:CapitalPreferred,2,FALSE),0)</f>
        <v>0</v>
      </c>
      <c r="BJ9" s="95">
        <f>IFERROR(VLOOKUP(BJ$3,CapitalEquityMonth:CapitalPreferred,2,FALSE),0)</f>
        <v>0</v>
      </c>
      <c r="BK9" s="95">
        <f>IFERROR(VLOOKUP(BK$3,CapitalEquityMonth:CapitalPreferred,2,FALSE),0)</f>
        <v>0</v>
      </c>
      <c r="BL9" s="95">
        <f>IFERROR(VLOOKUP(BL$3,CapitalEquityMonth:CapitalPreferred,2,FALSE),0)</f>
        <v>0</v>
      </c>
      <c r="BM9" s="95">
        <f>IFERROR(VLOOKUP(BM$3,CapitalEquityMonth:CapitalPreferred,2,FALSE),0)</f>
        <v>0</v>
      </c>
      <c r="BN9" s="95">
        <f>IFERROR(VLOOKUP(BN$3,CapitalEquityMonth:CapitalPreferred,2,FALSE),0)</f>
        <v>0</v>
      </c>
      <c r="BO9" s="95">
        <f>IFERROR(VLOOKUP(BO$3,CapitalEquityMonth:CapitalPreferred,2,FALSE),0)</f>
        <v>0</v>
      </c>
      <c r="BP9" s="95">
        <f>IFERROR(VLOOKUP(BP$3,CapitalEquityMonth:CapitalPreferred,2,FALSE),0)</f>
        <v>0</v>
      </c>
      <c r="BQ9" s="95">
        <f>IFERROR(VLOOKUP(BQ$3,CapitalEquityMonth:CapitalPreferred,2,FALSE),0)</f>
        <v>0</v>
      </c>
      <c r="BR9" s="103">
        <f>IFERROR(VLOOKUP(BR$3,CapitalEquityMonth:CapitalPreferred,2,FALSE),0)</f>
        <v>0</v>
      </c>
    </row>
    <row r="10" spans="1:70" s="93" customFormat="1" hidden="1" x14ac:dyDescent="0.3">
      <c r="A10" s="120"/>
      <c r="B10" s="259" t="s">
        <v>138</v>
      </c>
      <c r="E10" s="94">
        <f t="shared" si="0"/>
        <v>0</v>
      </c>
      <c r="F10" s="94">
        <f t="shared" si="1"/>
        <v>0</v>
      </c>
      <c r="G10" s="94">
        <f t="shared" si="2"/>
        <v>0</v>
      </c>
      <c r="H10" s="94">
        <f t="shared" si="3"/>
        <v>0</v>
      </c>
      <c r="I10" s="94">
        <f t="shared" si="4"/>
        <v>0</v>
      </c>
      <c r="K10" s="93">
        <f>IFERROR(VLOOKUP(K$3,CapitalEquityMonth:CapitalCommon,3,FALSE),0)</f>
        <v>0</v>
      </c>
      <c r="L10" s="93">
        <f>IFERROR(VLOOKUP(L$3,CapitalEquityMonth:CapitalCommon,3,FALSE),0)</f>
        <v>0</v>
      </c>
      <c r="M10" s="93">
        <f>IFERROR(VLOOKUP(M$3,CapitalEquityMonth:CapitalCommon,3,FALSE),0)</f>
        <v>0</v>
      </c>
      <c r="N10" s="93">
        <f>IFERROR(VLOOKUP(N$3,CapitalEquityMonth:CapitalCommon,3,FALSE),0)</f>
        <v>0</v>
      </c>
      <c r="O10" s="93">
        <f>IFERROR(VLOOKUP(O$3,CapitalEquityMonth:CapitalCommon,3,FALSE),0)</f>
        <v>0</v>
      </c>
      <c r="P10" s="93">
        <f>IFERROR(VLOOKUP(P$3,CapitalEquityMonth:CapitalCommon,3,FALSE),0)</f>
        <v>0</v>
      </c>
      <c r="Q10" s="93">
        <f>IFERROR(VLOOKUP(Q$3,CapitalEquityMonth:CapitalCommon,3,FALSE),0)</f>
        <v>0</v>
      </c>
      <c r="R10" s="93">
        <f>IFERROR(VLOOKUP(R$3,CapitalEquityMonth:CapitalCommon,3,FALSE),0)</f>
        <v>0</v>
      </c>
      <c r="S10" s="93">
        <f>IFERROR(VLOOKUP(S$3,CapitalEquityMonth:CapitalCommon,3,FALSE),0)</f>
        <v>0</v>
      </c>
      <c r="T10" s="93">
        <f>IFERROR(VLOOKUP(T$3,CapitalEquityMonth:CapitalCommon,3,FALSE),0)</f>
        <v>0</v>
      </c>
      <c r="U10" s="93">
        <f>IFERROR(VLOOKUP(U$3,CapitalEquityMonth:CapitalCommon,3,FALSE),0)</f>
        <v>0</v>
      </c>
      <c r="V10" s="103">
        <f>IFERROR(VLOOKUP(V$3,CapitalEquityMonth:CapitalCommon,3,FALSE),0)</f>
        <v>0</v>
      </c>
      <c r="W10" s="93">
        <f>IFERROR(VLOOKUP(W$3,CapitalEquityMonth:CapitalCommon,3,FALSE),0)</f>
        <v>0</v>
      </c>
      <c r="X10" s="93">
        <f>IFERROR(VLOOKUP(X$3,CapitalEquityMonth:CapitalCommon,3,FALSE),0)</f>
        <v>0</v>
      </c>
      <c r="Y10" s="93">
        <f>IFERROR(VLOOKUP(Y$3,CapitalEquityMonth:CapitalCommon,3,FALSE),0)</f>
        <v>0</v>
      </c>
      <c r="Z10" s="93">
        <f>IFERROR(VLOOKUP(Z$3,CapitalEquityMonth:CapitalCommon,3,FALSE),0)</f>
        <v>0</v>
      </c>
      <c r="AA10" s="93">
        <f>IFERROR(VLOOKUP(AA$3,CapitalEquityMonth:CapitalCommon,3,FALSE),0)</f>
        <v>0</v>
      </c>
      <c r="AB10" s="93">
        <f>IFERROR(VLOOKUP(AB$3,CapitalEquityMonth:CapitalCommon,3,FALSE),0)</f>
        <v>0</v>
      </c>
      <c r="AC10" s="93">
        <f>IFERROR(VLOOKUP(AC$3,CapitalEquityMonth:CapitalCommon,3,FALSE),0)</f>
        <v>0</v>
      </c>
      <c r="AD10" s="93">
        <f>IFERROR(VLOOKUP(AD$3,CapitalEquityMonth:CapitalCommon,3,FALSE),0)</f>
        <v>0</v>
      </c>
      <c r="AE10" s="93">
        <f>IFERROR(VLOOKUP(AE$3,CapitalEquityMonth:CapitalCommon,3,FALSE),0)</f>
        <v>0</v>
      </c>
      <c r="AF10" s="93">
        <f>IFERROR(VLOOKUP(AF$3,CapitalEquityMonth:CapitalCommon,3,FALSE),0)</f>
        <v>0</v>
      </c>
      <c r="AG10" s="93">
        <f>IFERROR(VLOOKUP(AG$3,CapitalEquityMonth:CapitalCommon,3,FALSE),0)</f>
        <v>0</v>
      </c>
      <c r="AH10" s="103">
        <f>IFERROR(VLOOKUP(AH$3,CapitalEquityMonth:CapitalCommon,3,FALSE),0)</f>
        <v>0</v>
      </c>
      <c r="AI10" s="93">
        <f>IFERROR(VLOOKUP(AI$3,CapitalEquityMonth:CapitalCommon,3,FALSE),0)</f>
        <v>0</v>
      </c>
      <c r="AJ10" s="93">
        <f>IFERROR(VLOOKUP(AJ$3,CapitalEquityMonth:CapitalCommon,3,FALSE),0)</f>
        <v>0</v>
      </c>
      <c r="AK10" s="93">
        <f>IFERROR(VLOOKUP(AK$3,CapitalEquityMonth:CapitalCommon,3,FALSE),0)</f>
        <v>0</v>
      </c>
      <c r="AL10" s="93">
        <f>IFERROR(VLOOKUP(AL$3,CapitalEquityMonth:CapitalCommon,3,FALSE),0)</f>
        <v>0</v>
      </c>
      <c r="AM10" s="93">
        <f>IFERROR(VLOOKUP(AM$3,CapitalEquityMonth:CapitalCommon,3,FALSE),0)</f>
        <v>0</v>
      </c>
      <c r="AN10" s="93">
        <f>IFERROR(VLOOKUP(AN$3,CapitalEquityMonth:CapitalCommon,3,FALSE),0)</f>
        <v>0</v>
      </c>
      <c r="AO10" s="93">
        <f>IFERROR(VLOOKUP(AO$3,CapitalEquityMonth:CapitalCommon,3,FALSE),0)</f>
        <v>0</v>
      </c>
      <c r="AP10" s="93">
        <f>IFERROR(VLOOKUP(AP$3,CapitalEquityMonth:CapitalCommon,3,FALSE),0)</f>
        <v>0</v>
      </c>
      <c r="AQ10" s="93">
        <f>IFERROR(VLOOKUP(AQ$3,CapitalEquityMonth:CapitalCommon,3,FALSE),0)</f>
        <v>0</v>
      </c>
      <c r="AR10" s="93">
        <f>IFERROR(VLOOKUP(AR$3,CapitalEquityMonth:CapitalCommon,3,FALSE),0)</f>
        <v>0</v>
      </c>
      <c r="AS10" s="93">
        <f>IFERROR(VLOOKUP(AS$3,CapitalEquityMonth:CapitalCommon,3,FALSE),0)</f>
        <v>0</v>
      </c>
      <c r="AT10" s="103">
        <f>IFERROR(VLOOKUP(AT$3,CapitalEquityMonth:CapitalCommon,3,FALSE),0)</f>
        <v>0</v>
      </c>
      <c r="AU10" s="93">
        <f>IFERROR(VLOOKUP(AU$3,CapitalEquityMonth:CapitalCommon,3,FALSE),0)</f>
        <v>0</v>
      </c>
      <c r="AV10" s="93">
        <f>IFERROR(VLOOKUP(AV$3,CapitalEquityMonth:CapitalCommon,3,FALSE),0)</f>
        <v>0</v>
      </c>
      <c r="AW10" s="93">
        <f>IFERROR(VLOOKUP(AW$3,CapitalEquityMonth:CapitalCommon,3,FALSE),0)</f>
        <v>0</v>
      </c>
      <c r="AX10" s="93">
        <f>IFERROR(VLOOKUP(AX$3,CapitalEquityMonth:CapitalCommon,3,FALSE),0)</f>
        <v>0</v>
      </c>
      <c r="AY10" s="93">
        <f>IFERROR(VLOOKUP(AY$3,CapitalEquityMonth:CapitalCommon,3,FALSE),0)</f>
        <v>0</v>
      </c>
      <c r="AZ10" s="93">
        <f>IFERROR(VLOOKUP(AZ$3,CapitalEquityMonth:CapitalCommon,3,FALSE),0)</f>
        <v>0</v>
      </c>
      <c r="BA10" s="93">
        <f>IFERROR(VLOOKUP(BA$3,CapitalEquityMonth:CapitalCommon,3,FALSE),0)</f>
        <v>0</v>
      </c>
      <c r="BB10" s="93">
        <f>IFERROR(VLOOKUP(BB$3,CapitalEquityMonth:CapitalCommon,3,FALSE),0)</f>
        <v>0</v>
      </c>
      <c r="BC10" s="93">
        <f>IFERROR(VLOOKUP(BC$3,CapitalEquityMonth:CapitalCommon,3,FALSE),0)</f>
        <v>0</v>
      </c>
      <c r="BD10" s="93">
        <f>IFERROR(VLOOKUP(BD$3,CapitalEquityMonth:CapitalCommon,3,FALSE),0)</f>
        <v>0</v>
      </c>
      <c r="BE10" s="93">
        <f>IFERROR(VLOOKUP(BE$3,CapitalEquityMonth:CapitalCommon,3,FALSE),0)</f>
        <v>0</v>
      </c>
      <c r="BF10" s="103">
        <f>IFERROR(VLOOKUP(BF$3,CapitalEquityMonth:CapitalCommon,3,FALSE),0)</f>
        <v>0</v>
      </c>
      <c r="BG10" s="93">
        <f>IFERROR(VLOOKUP(BG$3,CapitalEquityMonth:CapitalCommon,3,FALSE),0)</f>
        <v>0</v>
      </c>
      <c r="BH10" s="93">
        <f>IFERROR(VLOOKUP(BH$3,CapitalEquityMonth:CapitalCommon,3,FALSE),0)</f>
        <v>0</v>
      </c>
      <c r="BI10" s="93">
        <f>IFERROR(VLOOKUP(BI$3,CapitalEquityMonth:CapitalCommon,3,FALSE),0)</f>
        <v>0</v>
      </c>
      <c r="BJ10" s="93">
        <f>IFERROR(VLOOKUP(BJ$3,CapitalEquityMonth:CapitalCommon,3,FALSE),0)</f>
        <v>0</v>
      </c>
      <c r="BK10" s="93">
        <f>IFERROR(VLOOKUP(BK$3,CapitalEquityMonth:CapitalCommon,3,FALSE),0)</f>
        <v>0</v>
      </c>
      <c r="BL10" s="93">
        <f>IFERROR(VLOOKUP(BL$3,CapitalEquityMonth:CapitalCommon,3,FALSE),0)</f>
        <v>0</v>
      </c>
      <c r="BM10" s="93">
        <f>IFERROR(VLOOKUP(BM$3,CapitalEquityMonth:CapitalCommon,3,FALSE),0)</f>
        <v>0</v>
      </c>
      <c r="BN10" s="93">
        <f>IFERROR(VLOOKUP(BN$3,CapitalEquityMonth:CapitalCommon,3,FALSE),0)</f>
        <v>0</v>
      </c>
      <c r="BO10" s="93">
        <f>IFERROR(VLOOKUP(BO$3,CapitalEquityMonth:CapitalCommon,3,FALSE),0)</f>
        <v>0</v>
      </c>
      <c r="BP10" s="93">
        <f>IFERROR(VLOOKUP(BP$3,CapitalEquityMonth:CapitalCommon,3,FALSE),0)</f>
        <v>0</v>
      </c>
      <c r="BQ10" s="93">
        <f>IFERROR(VLOOKUP(BQ$3,CapitalEquityMonth:CapitalCommon,3,FALSE),0)</f>
        <v>0</v>
      </c>
      <c r="BR10" s="103">
        <f>IFERROR(VLOOKUP(BR$3,CapitalEquityMonth:CapitalCommon,3,FALSE),0)</f>
        <v>0</v>
      </c>
    </row>
    <row r="11" spans="1:70" s="93" customFormat="1" x14ac:dyDescent="0.3">
      <c r="A11" s="120"/>
      <c r="B11" s="259" t="s">
        <v>139</v>
      </c>
      <c r="E11" s="94">
        <f t="shared" si="0"/>
        <v>10</v>
      </c>
      <c r="F11" s="94">
        <f t="shared" si="1"/>
        <v>0</v>
      </c>
      <c r="G11" s="94">
        <f t="shared" si="2"/>
        <v>0</v>
      </c>
      <c r="H11" s="94">
        <f t="shared" si="3"/>
        <v>0</v>
      </c>
      <c r="I11" s="94">
        <f t="shared" si="4"/>
        <v>0</v>
      </c>
      <c r="K11" s="94">
        <f t="shared" ref="K11:AF11" si="46">SUM(K9:K10)</f>
        <v>0</v>
      </c>
      <c r="L11" s="95">
        <f t="shared" si="46"/>
        <v>0</v>
      </c>
      <c r="M11" s="95">
        <f t="shared" si="46"/>
        <v>0</v>
      </c>
      <c r="N11" s="95">
        <f t="shared" si="46"/>
        <v>0</v>
      </c>
      <c r="O11" s="95">
        <f t="shared" si="46"/>
        <v>0</v>
      </c>
      <c r="P11" s="95">
        <f t="shared" si="46"/>
        <v>10</v>
      </c>
      <c r="Q11" s="95">
        <f t="shared" si="46"/>
        <v>0</v>
      </c>
      <c r="R11" s="95">
        <f t="shared" si="46"/>
        <v>0</v>
      </c>
      <c r="S11" s="95">
        <f t="shared" si="46"/>
        <v>0</v>
      </c>
      <c r="T11" s="95">
        <f t="shared" si="46"/>
        <v>0</v>
      </c>
      <c r="U11" s="95">
        <f t="shared" si="46"/>
        <v>0</v>
      </c>
      <c r="V11" s="103">
        <f t="shared" si="46"/>
        <v>0</v>
      </c>
      <c r="W11" s="94">
        <f t="shared" si="46"/>
        <v>0</v>
      </c>
      <c r="X11" s="95">
        <f t="shared" si="46"/>
        <v>0</v>
      </c>
      <c r="Y11" s="95">
        <f t="shared" si="46"/>
        <v>0</v>
      </c>
      <c r="Z11" s="95">
        <f t="shared" si="46"/>
        <v>0</v>
      </c>
      <c r="AA11" s="95">
        <f t="shared" si="46"/>
        <v>0</v>
      </c>
      <c r="AB11" s="95">
        <f t="shared" si="46"/>
        <v>0</v>
      </c>
      <c r="AC11" s="95">
        <f t="shared" si="46"/>
        <v>0</v>
      </c>
      <c r="AD11" s="95">
        <f t="shared" si="46"/>
        <v>0</v>
      </c>
      <c r="AE11" s="95">
        <f t="shared" si="46"/>
        <v>0</v>
      </c>
      <c r="AF11" s="95">
        <f t="shared" si="46"/>
        <v>0</v>
      </c>
      <c r="AG11" s="95">
        <f t="shared" ref="AG11:BR11" si="47">SUM(AG9:AG10)</f>
        <v>0</v>
      </c>
      <c r="AH11" s="103">
        <f t="shared" si="47"/>
        <v>0</v>
      </c>
      <c r="AI11" s="94">
        <f t="shared" si="47"/>
        <v>0</v>
      </c>
      <c r="AJ11" s="95">
        <f t="shared" si="47"/>
        <v>0</v>
      </c>
      <c r="AK11" s="95">
        <f t="shared" si="47"/>
        <v>0</v>
      </c>
      <c r="AL11" s="95">
        <f t="shared" si="47"/>
        <v>0</v>
      </c>
      <c r="AM11" s="95">
        <f t="shared" si="47"/>
        <v>0</v>
      </c>
      <c r="AN11" s="95">
        <f t="shared" si="47"/>
        <v>0</v>
      </c>
      <c r="AO11" s="95">
        <f t="shared" si="47"/>
        <v>0</v>
      </c>
      <c r="AP11" s="95">
        <f t="shared" si="47"/>
        <v>0</v>
      </c>
      <c r="AQ11" s="95">
        <f t="shared" si="47"/>
        <v>0</v>
      </c>
      <c r="AR11" s="95">
        <f t="shared" si="47"/>
        <v>0</v>
      </c>
      <c r="AS11" s="95">
        <f t="shared" si="47"/>
        <v>0</v>
      </c>
      <c r="AT11" s="103">
        <f t="shared" si="47"/>
        <v>0</v>
      </c>
      <c r="AU11" s="94">
        <f t="shared" si="47"/>
        <v>0</v>
      </c>
      <c r="AV11" s="95">
        <f t="shared" si="47"/>
        <v>0</v>
      </c>
      <c r="AW11" s="95">
        <f t="shared" si="47"/>
        <v>0</v>
      </c>
      <c r="AX11" s="95">
        <f t="shared" si="47"/>
        <v>0</v>
      </c>
      <c r="AY11" s="95">
        <f t="shared" si="47"/>
        <v>0</v>
      </c>
      <c r="AZ11" s="95">
        <f t="shared" si="47"/>
        <v>0</v>
      </c>
      <c r="BA11" s="95">
        <f t="shared" si="47"/>
        <v>0</v>
      </c>
      <c r="BB11" s="95">
        <f t="shared" si="47"/>
        <v>0</v>
      </c>
      <c r="BC11" s="95">
        <f t="shared" si="47"/>
        <v>0</v>
      </c>
      <c r="BD11" s="95">
        <f t="shared" si="47"/>
        <v>0</v>
      </c>
      <c r="BE11" s="95">
        <f t="shared" si="47"/>
        <v>0</v>
      </c>
      <c r="BF11" s="103">
        <f t="shared" si="47"/>
        <v>0</v>
      </c>
      <c r="BG11" s="94">
        <f t="shared" si="47"/>
        <v>0</v>
      </c>
      <c r="BH11" s="95">
        <f t="shared" si="47"/>
        <v>0</v>
      </c>
      <c r="BI11" s="95">
        <f t="shared" si="47"/>
        <v>0</v>
      </c>
      <c r="BJ11" s="95">
        <f t="shared" si="47"/>
        <v>0</v>
      </c>
      <c r="BK11" s="95">
        <f t="shared" si="47"/>
        <v>0</v>
      </c>
      <c r="BL11" s="95">
        <f t="shared" si="47"/>
        <v>0</v>
      </c>
      <c r="BM11" s="95">
        <f t="shared" si="47"/>
        <v>0</v>
      </c>
      <c r="BN11" s="95">
        <f t="shared" si="47"/>
        <v>0</v>
      </c>
      <c r="BO11" s="95">
        <f t="shared" si="47"/>
        <v>0</v>
      </c>
      <c r="BP11" s="95">
        <f t="shared" si="47"/>
        <v>0</v>
      </c>
      <c r="BQ11" s="95">
        <f t="shared" si="47"/>
        <v>0</v>
      </c>
      <c r="BR11" s="103">
        <f t="shared" si="47"/>
        <v>0</v>
      </c>
    </row>
    <row r="12" spans="1:70" hidden="1" x14ac:dyDescent="0.3">
      <c r="A12" s="89"/>
      <c r="B12" s="112" t="s">
        <v>140</v>
      </c>
      <c r="E12" s="105">
        <f t="shared" si="0"/>
        <v>60</v>
      </c>
      <c r="F12" s="105">
        <f t="shared" si="1"/>
        <v>0</v>
      </c>
      <c r="G12" s="105">
        <f t="shared" si="2"/>
        <v>0</v>
      </c>
      <c r="H12" s="105">
        <f t="shared" si="3"/>
        <v>0</v>
      </c>
      <c r="I12" s="105">
        <f t="shared" si="4"/>
        <v>0</v>
      </c>
      <c r="J12" s="105"/>
      <c r="K12" s="93">
        <f t="shared" ref="K12:AF12" si="48">SUM(K11,K8)</f>
        <v>0</v>
      </c>
      <c r="L12" s="93">
        <f t="shared" si="48"/>
        <v>0</v>
      </c>
      <c r="M12" s="93">
        <f t="shared" si="48"/>
        <v>0</v>
      </c>
      <c r="N12" s="93">
        <f t="shared" si="48"/>
        <v>0</v>
      </c>
      <c r="O12" s="93">
        <f t="shared" si="48"/>
        <v>0</v>
      </c>
      <c r="P12" s="93">
        <f t="shared" si="48"/>
        <v>35</v>
      </c>
      <c r="Q12" s="93">
        <f t="shared" si="48"/>
        <v>0</v>
      </c>
      <c r="R12" s="93">
        <f t="shared" si="48"/>
        <v>0</v>
      </c>
      <c r="S12" s="93">
        <f t="shared" si="48"/>
        <v>25</v>
      </c>
      <c r="T12" s="93">
        <f t="shared" si="48"/>
        <v>0</v>
      </c>
      <c r="U12" s="93">
        <f t="shared" si="48"/>
        <v>0</v>
      </c>
      <c r="V12" s="102">
        <f t="shared" si="48"/>
        <v>0</v>
      </c>
      <c r="W12" s="93">
        <f t="shared" si="48"/>
        <v>0</v>
      </c>
      <c r="X12" s="93">
        <f t="shared" si="48"/>
        <v>0</v>
      </c>
      <c r="Y12" s="93">
        <f t="shared" si="48"/>
        <v>0</v>
      </c>
      <c r="Z12" s="93">
        <f t="shared" si="48"/>
        <v>0</v>
      </c>
      <c r="AA12" s="93">
        <f t="shared" si="48"/>
        <v>0</v>
      </c>
      <c r="AB12" s="93">
        <f t="shared" si="48"/>
        <v>0</v>
      </c>
      <c r="AC12" s="93">
        <f t="shared" si="48"/>
        <v>0</v>
      </c>
      <c r="AD12" s="93">
        <f t="shared" si="48"/>
        <v>0</v>
      </c>
      <c r="AE12" s="93">
        <f t="shared" si="48"/>
        <v>0</v>
      </c>
      <c r="AF12" s="93">
        <f t="shared" si="48"/>
        <v>0</v>
      </c>
      <c r="AG12" s="93">
        <f t="shared" ref="AG12:BR12" si="49">SUM(AG11,AG8)</f>
        <v>0</v>
      </c>
      <c r="AH12" s="102">
        <f t="shared" si="49"/>
        <v>0</v>
      </c>
      <c r="AI12" s="93">
        <f t="shared" si="49"/>
        <v>0</v>
      </c>
      <c r="AJ12" s="93">
        <f t="shared" si="49"/>
        <v>0</v>
      </c>
      <c r="AK12" s="93">
        <f t="shared" si="49"/>
        <v>0</v>
      </c>
      <c r="AL12" s="93">
        <f t="shared" si="49"/>
        <v>0</v>
      </c>
      <c r="AM12" s="93">
        <f t="shared" si="49"/>
        <v>0</v>
      </c>
      <c r="AN12" s="93">
        <f t="shared" si="49"/>
        <v>0</v>
      </c>
      <c r="AO12" s="93">
        <f t="shared" si="49"/>
        <v>0</v>
      </c>
      <c r="AP12" s="93">
        <f t="shared" si="49"/>
        <v>0</v>
      </c>
      <c r="AQ12" s="93">
        <f t="shared" si="49"/>
        <v>0</v>
      </c>
      <c r="AR12" s="93">
        <f t="shared" si="49"/>
        <v>0</v>
      </c>
      <c r="AS12" s="93">
        <f t="shared" si="49"/>
        <v>0</v>
      </c>
      <c r="AT12" s="102">
        <f t="shared" si="49"/>
        <v>0</v>
      </c>
      <c r="AU12" s="93">
        <f t="shared" si="49"/>
        <v>0</v>
      </c>
      <c r="AV12" s="93">
        <f t="shared" si="49"/>
        <v>0</v>
      </c>
      <c r="AW12" s="93">
        <f t="shared" si="49"/>
        <v>0</v>
      </c>
      <c r="AX12" s="93">
        <f t="shared" si="49"/>
        <v>0</v>
      </c>
      <c r="AY12" s="93">
        <f t="shared" si="49"/>
        <v>0</v>
      </c>
      <c r="AZ12" s="93">
        <f t="shared" si="49"/>
        <v>0</v>
      </c>
      <c r="BA12" s="93">
        <f t="shared" si="49"/>
        <v>0</v>
      </c>
      <c r="BB12" s="93">
        <f t="shared" si="49"/>
        <v>0</v>
      </c>
      <c r="BC12" s="93">
        <f t="shared" si="49"/>
        <v>0</v>
      </c>
      <c r="BD12" s="93">
        <f t="shared" si="49"/>
        <v>0</v>
      </c>
      <c r="BE12" s="93">
        <f t="shared" si="49"/>
        <v>0</v>
      </c>
      <c r="BF12" s="102">
        <f t="shared" si="49"/>
        <v>0</v>
      </c>
      <c r="BG12" s="93">
        <f t="shared" si="49"/>
        <v>0</v>
      </c>
      <c r="BH12" s="93">
        <f t="shared" si="49"/>
        <v>0</v>
      </c>
      <c r="BI12" s="93">
        <f t="shared" si="49"/>
        <v>0</v>
      </c>
      <c r="BJ12" s="93">
        <f t="shared" si="49"/>
        <v>0</v>
      </c>
      <c r="BK12" s="93">
        <f t="shared" si="49"/>
        <v>0</v>
      </c>
      <c r="BL12" s="93">
        <f t="shared" si="49"/>
        <v>0</v>
      </c>
      <c r="BM12" s="93">
        <f t="shared" si="49"/>
        <v>0</v>
      </c>
      <c r="BN12" s="93">
        <f t="shared" si="49"/>
        <v>0</v>
      </c>
      <c r="BO12" s="93">
        <f t="shared" si="49"/>
        <v>0</v>
      </c>
      <c r="BP12" s="93">
        <f t="shared" si="49"/>
        <v>0</v>
      </c>
      <c r="BQ12" s="93">
        <f t="shared" si="49"/>
        <v>0</v>
      </c>
      <c r="BR12" s="102">
        <f t="shared" si="49"/>
        <v>0</v>
      </c>
    </row>
    <row r="13" spans="1:70" s="93" customFormat="1" x14ac:dyDescent="0.3">
      <c r="A13" s="120"/>
      <c r="B13" s="97" t="s">
        <v>15</v>
      </c>
      <c r="E13" s="96">
        <f t="shared" si="0"/>
        <v>-30838.90593224976</v>
      </c>
      <c r="F13" s="96">
        <f t="shared" si="1"/>
        <v>-32740.982170446016</v>
      </c>
      <c r="G13" s="96">
        <f t="shared" si="2"/>
        <v>-34760.374309013678</v>
      </c>
      <c r="H13" s="96">
        <f t="shared" si="3"/>
        <v>-36904.318135984562</v>
      </c>
      <c r="I13" s="96">
        <f t="shared" si="4"/>
        <v>-39180.495726963403</v>
      </c>
      <c r="K13" s="94">
        <f>-Loans!K19</f>
        <v>-2500</v>
      </c>
      <c r="L13" s="94">
        <f>-Loans!L19</f>
        <v>-2512.4999999999995</v>
      </c>
      <c r="M13" s="94">
        <f>-Loans!M19</f>
        <v>-2525.0624999999991</v>
      </c>
      <c r="N13" s="94">
        <f>-Loans!N19</f>
        <v>-2537.6878124999989</v>
      </c>
      <c r="O13" s="94">
        <f>-Loans!O19</f>
        <v>-2550.376251562499</v>
      </c>
      <c r="P13" s="94">
        <f>-Loans!P19</f>
        <v>-2563.1281328203108</v>
      </c>
      <c r="Q13" s="94">
        <f>-Loans!Q19</f>
        <v>-2575.9437734844118</v>
      </c>
      <c r="R13" s="94">
        <f>-Loans!R19</f>
        <v>-2588.8234923518335</v>
      </c>
      <c r="S13" s="94">
        <f>-Loans!S19</f>
        <v>-2601.7676098135926</v>
      </c>
      <c r="T13" s="94">
        <f>-Loans!T19</f>
        <v>-2614.77644786266</v>
      </c>
      <c r="U13" s="94">
        <f>-Loans!U19</f>
        <v>-2627.8503301019732</v>
      </c>
      <c r="V13" s="209">
        <f>-Loans!V19</f>
        <v>-2640.9895817524825</v>
      </c>
      <c r="W13" s="94">
        <f>-Loans!W19</f>
        <v>-2654.1945296612448</v>
      </c>
      <c r="X13" s="94">
        <f>-Loans!X19</f>
        <v>-2667.4655023095506</v>
      </c>
      <c r="Y13" s="94">
        <f>-Loans!Y19</f>
        <v>-2680.8028298210979</v>
      </c>
      <c r="Z13" s="94">
        <f>-Loans!Z19</f>
        <v>-2694.2068439702034</v>
      </c>
      <c r="AA13" s="94">
        <f>-Loans!AA19</f>
        <v>-2707.6778781900539</v>
      </c>
      <c r="AB13" s="94">
        <f>-Loans!AB19</f>
        <v>-2721.2162675810036</v>
      </c>
      <c r="AC13" s="94">
        <f>-Loans!AC19</f>
        <v>-2734.8223489189086</v>
      </c>
      <c r="AD13" s="94">
        <f>-Loans!AD19</f>
        <v>-2748.4964606635026</v>
      </c>
      <c r="AE13" s="94">
        <f>-Loans!AE19</f>
        <v>-2762.2389429668201</v>
      </c>
      <c r="AF13" s="94">
        <f>-Loans!AF19</f>
        <v>-2776.0501376816537</v>
      </c>
      <c r="AG13" s="94">
        <f>-Loans!AG19</f>
        <v>-2789.9303883700618</v>
      </c>
      <c r="AH13" s="209">
        <f>-Loans!AH19</f>
        <v>-2803.8800403119117</v>
      </c>
      <c r="AI13" s="94">
        <f>-Loans!AI19</f>
        <v>-2817.8994405134713</v>
      </c>
      <c r="AJ13" s="94">
        <f>-Loans!AJ19</f>
        <v>-2831.9889377160384</v>
      </c>
      <c r="AK13" s="94">
        <f>-Loans!AK19</f>
        <v>-2846.1488824046182</v>
      </c>
      <c r="AL13" s="94">
        <f>-Loans!AL19</f>
        <v>-2860.3796268166411</v>
      </c>
      <c r="AM13" s="94">
        <f>-Loans!AM19</f>
        <v>-2874.681524950724</v>
      </c>
      <c r="AN13" s="94">
        <f>-Loans!AN19</f>
        <v>-2889.0549325754773</v>
      </c>
      <c r="AO13" s="94">
        <f>-Loans!AO19</f>
        <v>-2903.5002072383545</v>
      </c>
      <c r="AP13" s="94">
        <f>-Loans!AP19</f>
        <v>-2918.0177082745458</v>
      </c>
      <c r="AQ13" s="94">
        <f>-Loans!AQ19</f>
        <v>-2932.6077968159184</v>
      </c>
      <c r="AR13" s="94">
        <f>-Loans!AR19</f>
        <v>-2947.2708357999977</v>
      </c>
      <c r="AS13" s="94">
        <f>-Loans!AS19</f>
        <v>-2962.0071899789973</v>
      </c>
      <c r="AT13" s="209">
        <f>-Loans!AT19</f>
        <v>-2976.8172259288922</v>
      </c>
      <c r="AU13" s="94">
        <f>-Loans!AU19</f>
        <v>-2991.7013120585361</v>
      </c>
      <c r="AV13" s="94">
        <f>-Loans!AV19</f>
        <v>-3006.6598186188285</v>
      </c>
      <c r="AW13" s="94">
        <f>-Loans!AW19</f>
        <v>-3021.6931177119227</v>
      </c>
      <c r="AX13" s="94">
        <f>-Loans!AX19</f>
        <v>-3036.801583300482</v>
      </c>
      <c r="AY13" s="94">
        <f>-Loans!AY19</f>
        <v>-3051.9855912169837</v>
      </c>
      <c r="AZ13" s="94">
        <f>-Loans!AZ19</f>
        <v>-3067.2455191730683</v>
      </c>
      <c r="BA13" s="94">
        <f>-Loans!BA19</f>
        <v>-3082.5817467689335</v>
      </c>
      <c r="BB13" s="94">
        <f>-Loans!BB19</f>
        <v>-3097.9946555027777</v>
      </c>
      <c r="BC13" s="94">
        <f>-Loans!BC19</f>
        <v>-3113.4846287802911</v>
      </c>
      <c r="BD13" s="94">
        <f>-Loans!BD19</f>
        <v>-3129.0520519241923</v>
      </c>
      <c r="BE13" s="94">
        <f>-Loans!BE19</f>
        <v>-3144.6973121838132</v>
      </c>
      <c r="BF13" s="209">
        <f>-Loans!BF19</f>
        <v>-3160.4207987447317</v>
      </c>
      <c r="BG13" s="94">
        <f>-Loans!BG19</f>
        <v>-3176.2229027384551</v>
      </c>
      <c r="BH13" s="94">
        <f>-Loans!BH19</f>
        <v>-3192.1040172521471</v>
      </c>
      <c r="BI13" s="94">
        <f>-Loans!BI19</f>
        <v>-3208.0645373384073</v>
      </c>
      <c r="BJ13" s="94">
        <f>-Loans!BJ19</f>
        <v>-3224.1048600250992</v>
      </c>
      <c r="BK13" s="94">
        <f>-Loans!BK19</f>
        <v>-3240.2253843252238</v>
      </c>
      <c r="BL13" s="94">
        <f>-Loans!BL19</f>
        <v>-3256.4265112468497</v>
      </c>
      <c r="BM13" s="94">
        <f>-Loans!BM19</f>
        <v>-3272.7086438030838</v>
      </c>
      <c r="BN13" s="94">
        <f>-Loans!BN19</f>
        <v>-3289.0721870220987</v>
      </c>
      <c r="BO13" s="94">
        <f>-Loans!BO19</f>
        <v>-3305.5175479572085</v>
      </c>
      <c r="BP13" s="94">
        <f>-Loans!BP19</f>
        <v>-3322.0451356969947</v>
      </c>
      <c r="BQ13" s="94">
        <f>-Loans!BQ19</f>
        <v>-3338.6553613754791</v>
      </c>
      <c r="BR13" s="209">
        <f>-Loans!BR19</f>
        <v>-3355.3486381823559</v>
      </c>
    </row>
    <row r="14" spans="1:70" s="93" customFormat="1" x14ac:dyDescent="0.3">
      <c r="A14" s="120"/>
      <c r="B14" s="97" t="s">
        <v>141</v>
      </c>
      <c r="E14" s="96">
        <f t="shared" si="0"/>
        <v>8119.1556736214288</v>
      </c>
      <c r="F14" s="96">
        <f t="shared" si="1"/>
        <v>20188.499821478836</v>
      </c>
      <c r="G14" s="96">
        <f t="shared" si="2"/>
        <v>23884.540567158165</v>
      </c>
      <c r="H14" s="96">
        <f t="shared" si="3"/>
        <v>24788.921327962293</v>
      </c>
      <c r="I14" s="96">
        <f t="shared" si="4"/>
        <v>26609.459608268287</v>
      </c>
      <c r="K14" s="94">
        <f>Loans!K22</f>
        <v>122.01445441303251</v>
      </c>
      <c r="L14" s="94">
        <f>Loans!L22</f>
        <v>243.20472824309644</v>
      </c>
      <c r="M14" s="94">
        <f>Loans!M22</f>
        <v>366.83647308332854</v>
      </c>
      <c r="N14" s="94">
        <f>Loans!N22</f>
        <v>492.9498389905836</v>
      </c>
      <c r="O14" s="94">
        <f>Loans!O22</f>
        <v>569.99181646541399</v>
      </c>
      <c r="P14" s="94">
        <f>Loans!P22</f>
        <v>649.69676220405302</v>
      </c>
      <c r="Q14" s="94">
        <f>Loans!Q22</f>
        <v>730.97015399949623</v>
      </c>
      <c r="R14" s="94">
        <f>Loans!R22</f>
        <v>813.83764422753666</v>
      </c>
      <c r="S14" s="94">
        <f>Loans!S22</f>
        <v>898.32528467132295</v>
      </c>
      <c r="T14" s="94">
        <f>Loans!T22</f>
        <v>986.63851301980299</v>
      </c>
      <c r="U14" s="94">
        <f>Loans!U22</f>
        <v>1076.5639734177532</v>
      </c>
      <c r="V14" s="209">
        <f>Loans!V22</f>
        <v>1168.1260308860094</v>
      </c>
      <c r="W14" s="94">
        <f>Loans!W22</f>
        <v>1261.3493986141739</v>
      </c>
      <c r="X14" s="94">
        <f>Loans!X22</f>
        <v>1355.5093511511589</v>
      </c>
      <c r="Y14" s="94">
        <f>Loans!Y22</f>
        <v>1451.410546717352</v>
      </c>
      <c r="Z14" s="94">
        <f>Loans!Z22</f>
        <v>1549.0800678388127</v>
      </c>
      <c r="AA14" s="94">
        <f>Loans!AA22</f>
        <v>1648.5453983256027</v>
      </c>
      <c r="AB14" s="94">
        <f>Loans!AB22</f>
        <v>1749.834429125897</v>
      </c>
      <c r="AC14" s="94">
        <f>Loans!AC22</f>
        <v>1758.9749821042144</v>
      </c>
      <c r="AD14" s="94">
        <f>Loans!AD22</f>
        <v>1862.6821479670691</v>
      </c>
      <c r="AE14" s="94">
        <f>Loans!AE22</f>
        <v>1872.7341393264924</v>
      </c>
      <c r="AF14" s="94">
        <f>Loans!AF22</f>
        <v>1882.7736771641246</v>
      </c>
      <c r="AG14" s="94">
        <f>Loans!AG22</f>
        <v>1892.7986786648769</v>
      </c>
      <c r="AH14" s="209">
        <f>Loans!AH22</f>
        <v>1902.8070044790622</v>
      </c>
      <c r="AI14" s="94">
        <f>Loans!AI22</f>
        <v>1912.7964575162146</v>
      </c>
      <c r="AJ14" s="94">
        <f>Loans!AJ22</f>
        <v>1966.4246111720884</v>
      </c>
      <c r="AK14" s="94">
        <f>Loans!AK22</f>
        <v>1974.2152825679773</v>
      </c>
      <c r="AL14" s="94">
        <f>Loans!AL22</f>
        <v>1981.9518907376566</v>
      </c>
      <c r="AM14" s="94">
        <f>Loans!AM22</f>
        <v>1989.4539365227649</v>
      </c>
      <c r="AN14" s="94">
        <f>Loans!AN22</f>
        <v>1983.0267176532525</v>
      </c>
      <c r="AO14" s="94">
        <f>Loans!AO22</f>
        <v>1991.4754458055236</v>
      </c>
      <c r="AP14" s="94">
        <f>Loans!AP22</f>
        <v>1999.9552781823475</v>
      </c>
      <c r="AQ14" s="94">
        <f>Loans!AQ22</f>
        <v>2008.4661999046723</v>
      </c>
      <c r="AR14" s="94">
        <f>Loans!AR22</f>
        <v>2017.0081935750575</v>
      </c>
      <c r="AS14" s="94">
        <f>Loans!AS22</f>
        <v>2025.5812392298694</v>
      </c>
      <c r="AT14" s="209">
        <f>Loans!AT22</f>
        <v>2034.1853142907405</v>
      </c>
      <c r="AU14" s="94">
        <f>Loans!AU22</f>
        <v>2042.8203935152656</v>
      </c>
      <c r="AV14" s="94">
        <f>Loans!AV22</f>
        <v>2051.4864489469346</v>
      </c>
      <c r="AW14" s="94">
        <f>Loans!AW22</f>
        <v>2060.1834498642793</v>
      </c>
      <c r="AX14" s="94">
        <f>Loans!AX22</f>
        <v>2068.9113627292368</v>
      </c>
      <c r="AY14" s="94">
        <f>Loans!AY22</f>
        <v>2077.6701511347028</v>
      </c>
      <c r="AZ14" s="94">
        <f>Loans!AZ22</f>
        <v>1979.7631589665264</v>
      </c>
      <c r="BA14" s="94">
        <f>Loans!BA22</f>
        <v>1988.6902741052102</v>
      </c>
      <c r="BB14" s="94">
        <f>Loans!BB22</f>
        <v>1997.6480311155128</v>
      </c>
      <c r="BC14" s="94">
        <f>Loans!BC22</f>
        <v>2114.5251465891624</v>
      </c>
      <c r="BD14" s="94">
        <f>Loans!BD22</f>
        <v>2125.0977723221076</v>
      </c>
      <c r="BE14" s="94">
        <f>Loans!BE22</f>
        <v>2135.723261183718</v>
      </c>
      <c r="BF14" s="209">
        <f>Loans!BF22</f>
        <v>2146.4018774896363</v>
      </c>
      <c r="BG14" s="94">
        <f>Loans!BG22</f>
        <v>2157.1338868770845</v>
      </c>
      <c r="BH14" s="94">
        <f>Loans!BH22</f>
        <v>2167.9195563114699</v>
      </c>
      <c r="BI14" s="94">
        <f>Loans!BI22</f>
        <v>2178.7591540930271</v>
      </c>
      <c r="BJ14" s="94">
        <f>Loans!BJ22</f>
        <v>2189.6529498634918</v>
      </c>
      <c r="BK14" s="94">
        <f>Loans!BK22</f>
        <v>2200.6012146128091</v>
      </c>
      <c r="BL14" s="94">
        <f>Loans!BL22</f>
        <v>2211.6042206858729</v>
      </c>
      <c r="BM14" s="94">
        <f>Loans!BM22</f>
        <v>2222.6622417893018</v>
      </c>
      <c r="BN14" s="94">
        <f>Loans!BN22</f>
        <v>2233.7755529982483</v>
      </c>
      <c r="BO14" s="94">
        <f>Loans!BO22</f>
        <v>2244.9444307632393</v>
      </c>
      <c r="BP14" s="94">
        <f>Loans!BP22</f>
        <v>2256.1691529170548</v>
      </c>
      <c r="BQ14" s="94">
        <f>Loans!BQ22</f>
        <v>2267.4499986816409</v>
      </c>
      <c r="BR14" s="209">
        <f>Loans!BR22</f>
        <v>2278.787248675048</v>
      </c>
    </row>
    <row r="15" spans="1:70" s="93" customFormat="1" x14ac:dyDescent="0.3">
      <c r="A15" s="120"/>
      <c r="B15" s="97" t="s">
        <v>207</v>
      </c>
      <c r="E15" s="96">
        <f t="shared" ca="1" si="0"/>
        <v>7362.8847081574804</v>
      </c>
      <c r="F15" s="96">
        <f t="shared" ca="1" si="1"/>
        <v>10311.51806704226</v>
      </c>
      <c r="G15" s="96">
        <f t="shared" ca="1" si="2"/>
        <v>10882.869658027274</v>
      </c>
      <c r="H15" s="96">
        <f t="shared" ca="1" si="3"/>
        <v>11622.728396785178</v>
      </c>
      <c r="I15" s="96">
        <f t="shared" ca="1" si="4"/>
        <v>12339.592852194255</v>
      </c>
      <c r="K15" s="94">
        <f ca="1">Loans!K15</f>
        <v>0</v>
      </c>
      <c r="L15" s="94">
        <f ca="1">Loans!L15</f>
        <v>0</v>
      </c>
      <c r="M15" s="94">
        <f ca="1">Loans!M15</f>
        <v>0</v>
      </c>
      <c r="N15" s="94">
        <f ca="1">Loans!N15</f>
        <v>797.64626351505399</v>
      </c>
      <c r="O15" s="94">
        <f ca="1">Loans!O15</f>
        <v>806.40078614745153</v>
      </c>
      <c r="P15" s="94">
        <f ca="1">Loans!P15</f>
        <v>810.43279007818876</v>
      </c>
      <c r="Q15" s="94">
        <f ca="1">Loans!Q15</f>
        <v>814.48495402857975</v>
      </c>
      <c r="R15" s="94">
        <f ca="1">Loans!R15</f>
        <v>818.55737879872231</v>
      </c>
      <c r="S15" s="94">
        <f ca="1">Loans!S15</f>
        <v>822.65016569271597</v>
      </c>
      <c r="T15" s="94">
        <f ca="1">Loans!T15</f>
        <v>826.76341652117935</v>
      </c>
      <c r="U15" s="94">
        <f ca="1">Loans!U15</f>
        <v>830.89723360378525</v>
      </c>
      <c r="V15" s="209">
        <f ca="1">Loans!V15</f>
        <v>835.05171977180407</v>
      </c>
      <c r="W15" s="94">
        <f ca="1">Loans!W15</f>
        <v>835.91795455517411</v>
      </c>
      <c r="X15" s="94">
        <f ca="1">Loans!X15</f>
        <v>840.09754432795012</v>
      </c>
      <c r="Y15" s="94">
        <f ca="1">Loans!Y15</f>
        <v>844.29803204958966</v>
      </c>
      <c r="Z15" s="94">
        <f ca="1">Loans!Z15</f>
        <v>848.51952220983742</v>
      </c>
      <c r="AA15" s="94">
        <f ca="1">Loans!AA15</f>
        <v>852.76211982088671</v>
      </c>
      <c r="AB15" s="94">
        <f ca="1">Loans!AB15</f>
        <v>857.02593041999091</v>
      </c>
      <c r="AC15" s="94">
        <f ca="1">Loans!AC15</f>
        <v>861.31106007209087</v>
      </c>
      <c r="AD15" s="94">
        <f ca="1">Loans!AD15</f>
        <v>865.61761537245104</v>
      </c>
      <c r="AE15" s="94">
        <f ca="1">Loans!AE15</f>
        <v>869.94570344931321</v>
      </c>
      <c r="AF15" s="94">
        <f ca="1">Loans!AF15</f>
        <v>874.29543196655959</v>
      </c>
      <c r="AG15" s="94">
        <f ca="1">Loans!AG15</f>
        <v>878.66690912639251</v>
      </c>
      <c r="AH15" s="209">
        <f ca="1">Loans!AH15</f>
        <v>883.06024367202428</v>
      </c>
      <c r="AI15" s="94">
        <f ca="1">Loans!AI15</f>
        <v>887.47554489038419</v>
      </c>
      <c r="AJ15" s="94">
        <f ca="1">Loans!AJ15</f>
        <v>891.91292261483602</v>
      </c>
      <c r="AK15" s="94">
        <f ca="1">Loans!AK15</f>
        <v>896.37248722791037</v>
      </c>
      <c r="AL15" s="94">
        <f ca="1">Loans!AL15</f>
        <v>900.85434966404978</v>
      </c>
      <c r="AM15" s="94">
        <f ca="1">Loans!AM15</f>
        <v>840.71834102097614</v>
      </c>
      <c r="AN15" s="94">
        <f ca="1">Loans!AN15</f>
        <v>909.88541451943172</v>
      </c>
      <c r="AO15" s="94">
        <f ca="1">Loans!AO15</f>
        <v>914.43484159202865</v>
      </c>
      <c r="AP15" s="94">
        <f ca="1">Loans!AP15</f>
        <v>919.00701579998895</v>
      </c>
      <c r="AQ15" s="94">
        <f ca="1">Loans!AQ15</f>
        <v>923.60205087898873</v>
      </c>
      <c r="AR15" s="94">
        <f ca="1">Loans!AR15</f>
        <v>928.22006113338352</v>
      </c>
      <c r="AS15" s="94">
        <f ca="1">Loans!AS15</f>
        <v>932.86116143905019</v>
      </c>
      <c r="AT15" s="209">
        <f ca="1">Loans!AT15</f>
        <v>937.5254672462454</v>
      </c>
      <c r="AU15" s="94">
        <f ca="1">Loans!AU15</f>
        <v>942.21309458247651</v>
      </c>
      <c r="AV15" s="94">
        <f ca="1">Loans!AV15</f>
        <v>946.92416005538871</v>
      </c>
      <c r="AW15" s="94">
        <f ca="1">Loans!AW15</f>
        <v>951.65878085566567</v>
      </c>
      <c r="AX15" s="94">
        <f ca="1">Loans!AX15</f>
        <v>956.41707475994394</v>
      </c>
      <c r="AY15" s="94">
        <f ca="1">Loans!AY15</f>
        <v>961.19916013374359</v>
      </c>
      <c r="AZ15" s="94">
        <f ca="1">Loans!AZ15</f>
        <v>966.00515593441219</v>
      </c>
      <c r="BA15" s="94">
        <f ca="1">Loans!BA15</f>
        <v>970.83518171408423</v>
      </c>
      <c r="BB15" s="94">
        <f ca="1">Loans!BB15</f>
        <v>975.68935762265448</v>
      </c>
      <c r="BC15" s="94">
        <f ca="1">Loans!BC15</f>
        <v>980.56780441076762</v>
      </c>
      <c r="BD15" s="94">
        <f ca="1">Loans!BD15</f>
        <v>985.47064343282148</v>
      </c>
      <c r="BE15" s="94">
        <f ca="1">Loans!BE15</f>
        <v>990.39799664998532</v>
      </c>
      <c r="BF15" s="209">
        <f ca="1">Loans!BF15</f>
        <v>995.34998663323529</v>
      </c>
      <c r="BG15" s="94">
        <f ca="1">Loans!BG15</f>
        <v>1000.3267365664011</v>
      </c>
      <c r="BH15" s="94">
        <f ca="1">Loans!BH15</f>
        <v>1005.3283702492331</v>
      </c>
      <c r="BI15" s="94">
        <f ca="1">Loans!BI15</f>
        <v>1010.3550121004794</v>
      </c>
      <c r="BJ15" s="94">
        <f ca="1">Loans!BJ15</f>
        <v>1015.4067871609816</v>
      </c>
      <c r="BK15" s="94">
        <f ca="1">Loans!BK15</f>
        <v>1020.4838210967861</v>
      </c>
      <c r="BL15" s="94">
        <f ca="1">Loans!BL15</f>
        <v>1025.5862402022699</v>
      </c>
      <c r="BM15" s="94">
        <f ca="1">Loans!BM15</f>
        <v>1030.7141714032809</v>
      </c>
      <c r="BN15" s="94">
        <f ca="1">Loans!BN15</f>
        <v>1035.8677422602977</v>
      </c>
      <c r="BO15" s="94">
        <f ca="1">Loans!BO15</f>
        <v>1041.0470809715989</v>
      </c>
      <c r="BP15" s="94">
        <f ca="1">Loans!BP15</f>
        <v>1046.252316376457</v>
      </c>
      <c r="BQ15" s="94">
        <f ca="1">Loans!BQ15</f>
        <v>1051.4835779583386</v>
      </c>
      <c r="BR15" s="209">
        <f ca="1">Loans!BR15</f>
        <v>1056.7409958481305</v>
      </c>
    </row>
    <row r="16" spans="1:70" s="93" customFormat="1" x14ac:dyDescent="0.3">
      <c r="A16" s="120"/>
      <c r="B16" s="97" t="s">
        <v>208</v>
      </c>
      <c r="E16" s="96"/>
      <c r="F16" s="96"/>
      <c r="G16" s="96"/>
      <c r="H16" s="96"/>
      <c r="I16" s="96"/>
      <c r="K16" s="94">
        <f ca="1">Loans!K16</f>
        <v>0</v>
      </c>
      <c r="L16" s="94">
        <f ca="1">Loans!L16</f>
        <v>0</v>
      </c>
      <c r="M16" s="94">
        <f ca="1">Loans!M16</f>
        <v>0</v>
      </c>
      <c r="N16" s="94">
        <f ca="1">Loans!N16</f>
        <v>19.94115658787635</v>
      </c>
      <c r="O16" s="94">
        <f ca="1">Loans!O16</f>
        <v>20.160019653686291</v>
      </c>
      <c r="P16" s="94">
        <f ca="1">Loans!P16</f>
        <v>20.26081975195472</v>
      </c>
      <c r="Q16" s="94">
        <f ca="1">Loans!Q16</f>
        <v>20.362123850714497</v>
      </c>
      <c r="R16" s="94">
        <f ca="1">Loans!R16</f>
        <v>20.463934469968059</v>
      </c>
      <c r="S16" s="94">
        <f ca="1">Loans!S16</f>
        <v>20.566254142317902</v>
      </c>
      <c r="T16" s="94">
        <f ca="1">Loans!T16</f>
        <v>20.669085413029485</v>
      </c>
      <c r="U16" s="94">
        <f ca="1">Loans!U16</f>
        <v>20.772430840094632</v>
      </c>
      <c r="V16" s="209">
        <f ca="1">Loans!V16</f>
        <v>20.876292994295103</v>
      </c>
      <c r="W16" s="94">
        <f ca="1">Loans!W16</f>
        <v>20.897948863879353</v>
      </c>
      <c r="X16" s="94">
        <f ca="1">Loans!X16</f>
        <v>21.002438608198755</v>
      </c>
      <c r="Y16" s="94">
        <f ca="1">Loans!Y16</f>
        <v>21.107450801239743</v>
      </c>
      <c r="Z16" s="94">
        <f ca="1">Loans!Z16</f>
        <v>21.212988055245937</v>
      </c>
      <c r="AA16" s="94">
        <f ca="1">Loans!AA16</f>
        <v>21.319052995522171</v>
      </c>
      <c r="AB16" s="94">
        <f ca="1">Loans!AB16</f>
        <v>21.425648260499774</v>
      </c>
      <c r="AC16" s="94">
        <f ca="1">Loans!AC16</f>
        <v>21.532776501802275</v>
      </c>
      <c r="AD16" s="94">
        <f ca="1">Loans!AD16</f>
        <v>21.640440384311276</v>
      </c>
      <c r="AE16" s="94">
        <f ca="1">Loans!AE16</f>
        <v>21.748642586232833</v>
      </c>
      <c r="AF16" s="94">
        <f ca="1">Loans!AF16</f>
        <v>21.857385799163993</v>
      </c>
      <c r="AG16" s="94">
        <f ca="1">Loans!AG16</f>
        <v>21.966672728159814</v>
      </c>
      <c r="AH16" s="209">
        <f ca="1">Loans!AH16</f>
        <v>22.07650609180061</v>
      </c>
      <c r="AI16" s="94">
        <f ca="1">Loans!AI16</f>
        <v>22.186888622259605</v>
      </c>
      <c r="AJ16" s="94">
        <f ca="1">Loans!AJ16</f>
        <v>22.297823065370903</v>
      </c>
      <c r="AK16" s="94">
        <f ca="1">Loans!AK16</f>
        <v>22.409312180697761</v>
      </c>
      <c r="AL16" s="94">
        <f ca="1">Loans!AL16</f>
        <v>22.521358741601247</v>
      </c>
      <c r="AM16" s="94">
        <f ca="1">Loans!AM16</f>
        <v>21.017958525524406</v>
      </c>
      <c r="AN16" s="94">
        <f ca="1">Loans!AN16</f>
        <v>22.747135362985794</v>
      </c>
      <c r="AO16" s="94">
        <f ca="1">Loans!AO16</f>
        <v>22.860871039800717</v>
      </c>
      <c r="AP16" s="94">
        <f ca="1">Loans!AP16</f>
        <v>22.975175394999724</v>
      </c>
      <c r="AQ16" s="94">
        <f ca="1">Loans!AQ16</f>
        <v>23.090051271974719</v>
      </c>
      <c r="AR16" s="94">
        <f ca="1">Loans!AR16</f>
        <v>23.20550152833459</v>
      </c>
      <c r="AS16" s="94">
        <f ca="1">Loans!AS16</f>
        <v>23.321529035976255</v>
      </c>
      <c r="AT16" s="209">
        <f ca="1">Loans!AT16</f>
        <v>23.438136681156138</v>
      </c>
      <c r="AU16" s="94">
        <f ca="1">Loans!AU16</f>
        <v>23.555327364561915</v>
      </c>
      <c r="AV16" s="94">
        <f ca="1">Loans!AV16</f>
        <v>23.673104001384718</v>
      </c>
      <c r="AW16" s="94">
        <f ca="1">Loans!AW16</f>
        <v>23.791469521391644</v>
      </c>
      <c r="AX16" s="94">
        <f ca="1">Loans!AX16</f>
        <v>23.910426868998599</v>
      </c>
      <c r="AY16" s="94">
        <f ca="1">Loans!AY16</f>
        <v>24.029979003343591</v>
      </c>
      <c r="AZ16" s="94">
        <f ca="1">Loans!AZ16</f>
        <v>24.150128898360308</v>
      </c>
      <c r="BA16" s="94">
        <f ca="1">Loans!BA16</f>
        <v>24.270879542852107</v>
      </c>
      <c r="BB16" s="94">
        <f ca="1">Loans!BB16</f>
        <v>24.392233940566364</v>
      </c>
      <c r="BC16" s="94">
        <f ca="1">Loans!BC16</f>
        <v>24.514195110269192</v>
      </c>
      <c r="BD16" s="94">
        <f ca="1">Loans!BD16</f>
        <v>24.63676608582054</v>
      </c>
      <c r="BE16" s="94">
        <f ca="1">Loans!BE16</f>
        <v>24.759949916249635</v>
      </c>
      <c r="BF16" s="209">
        <f ca="1">Loans!BF16</f>
        <v>24.883749665830884</v>
      </c>
      <c r="BG16" s="94">
        <f ca="1">Loans!BG16</f>
        <v>25.008168414160028</v>
      </c>
      <c r="BH16" s="94">
        <f ca="1">Loans!BH16</f>
        <v>25.133209256230828</v>
      </c>
      <c r="BI16" s="94">
        <f ca="1">Loans!BI16</f>
        <v>25.258875302511985</v>
      </c>
      <c r="BJ16" s="94">
        <f ca="1">Loans!BJ16</f>
        <v>25.385169679024543</v>
      </c>
      <c r="BK16" s="94">
        <f ca="1">Loans!BK16</f>
        <v>25.512095527419653</v>
      </c>
      <c r="BL16" s="94">
        <f ca="1">Loans!BL16</f>
        <v>25.63965600505675</v>
      </c>
      <c r="BM16" s="94">
        <f ca="1">Loans!BM16</f>
        <v>25.767854285082024</v>
      </c>
      <c r="BN16" s="94">
        <f ca="1">Loans!BN16</f>
        <v>25.896693556507444</v>
      </c>
      <c r="BO16" s="94">
        <f ca="1">Loans!BO16</f>
        <v>26.026177024289975</v>
      </c>
      <c r="BP16" s="94">
        <f ca="1">Loans!BP16</f>
        <v>26.156307909411424</v>
      </c>
      <c r="BQ16" s="94">
        <f ca="1">Loans!BQ16</f>
        <v>26.287089448958469</v>
      </c>
      <c r="BR16" s="209">
        <f ca="1">Loans!BR16</f>
        <v>26.418524896203266</v>
      </c>
    </row>
    <row r="17" spans="1:70" s="93" customFormat="1" x14ac:dyDescent="0.3">
      <c r="A17" s="120"/>
      <c r="B17" s="97" t="s">
        <v>92</v>
      </c>
      <c r="E17" s="96">
        <f t="shared" ref="E17:E18" si="50">SUM(K17:V17)</f>
        <v>2198.5169185594978</v>
      </c>
      <c r="F17" s="96">
        <f t="shared" ref="F17:F18" si="51">SUM(W17:AH17)</f>
        <v>3656.9159893662954</v>
      </c>
      <c r="G17" s="96">
        <f t="shared" ref="G17:G18" si="52">SUM(AI17:AT17)</f>
        <v>3603.0022929409674</v>
      </c>
      <c r="H17" s="96">
        <f t="shared" ref="H17:H18" si="53">SUM(AU17:BF17)</f>
        <v>4074.2231620788557</v>
      </c>
      <c r="I17" s="96">
        <f t="shared" ref="I17:I18" si="54">SUM(BG17:BR17)</f>
        <v>4373.39305035709</v>
      </c>
      <c r="K17" s="94">
        <f>Loans!K11</f>
        <v>37.5</v>
      </c>
      <c r="L17" s="94">
        <f>Loans!L11</f>
        <v>76.462238400620691</v>
      </c>
      <c r="M17" s="94">
        <f>Loans!M11</f>
        <v>113.62441341226801</v>
      </c>
      <c r="N17" s="94">
        <f>Loans!N11</f>
        <v>148.94974137113311</v>
      </c>
      <c r="O17" s="94">
        <f>Loans!O11</f>
        <v>170.44367362463638</v>
      </c>
      <c r="P17" s="94">
        <f>Loans!P11</f>
        <v>189.67199075114604</v>
      </c>
      <c r="Q17" s="94">
        <f>Loans!Q11</f>
        <v>207.73129704976262</v>
      </c>
      <c r="R17" s="94">
        <f>Loans!R11</f>
        <v>224.59803255192301</v>
      </c>
      <c r="S17" s="94">
        <f>Loans!S11</f>
        <v>240.24824824851356</v>
      </c>
      <c r="T17" s="94">
        <f>Loans!T11</f>
        <v>252.47861964335578</v>
      </c>
      <c r="U17" s="94">
        <f>Loans!U11</f>
        <v>263.50462625536557</v>
      </c>
      <c r="V17" s="209">
        <f>Loans!V11</f>
        <v>273.30403725077269</v>
      </c>
      <c r="W17" s="94">
        <f>Loans!W11</f>
        <v>281.85428420312473</v>
      </c>
      <c r="X17" s="94">
        <f>Loans!X11</f>
        <v>289.88224795571864</v>
      </c>
      <c r="Y17" s="94">
        <f>Loans!Y11</f>
        <v>296.58543636267655</v>
      </c>
      <c r="Z17" s="94">
        <f>Loans!Z11</f>
        <v>301.93894370825529</v>
      </c>
      <c r="AA17" s="94">
        <f>Loans!AA11</f>
        <v>305.91747378228831</v>
      </c>
      <c r="AB17" s="94">
        <f>Loans!AB11</f>
        <v>308.49533408011831</v>
      </c>
      <c r="AC17" s="94">
        <f>Loans!AC11</f>
        <v>309.64642991783063</v>
      </c>
      <c r="AD17" s="94">
        <f>Loans!AD11</f>
        <v>310.75285568673746</v>
      </c>
      <c r="AE17" s="94">
        <f>Loans!AE11</f>
        <v>311.56803934558275</v>
      </c>
      <c r="AF17" s="94">
        <f>Loans!AF11</f>
        <v>312.45001240131108</v>
      </c>
      <c r="AG17" s="94">
        <f>Loans!AG11</f>
        <v>313.40112934838544</v>
      </c>
      <c r="AH17" s="209">
        <f>Loans!AH11</f>
        <v>314.42380257426601</v>
      </c>
      <c r="AI17" s="94">
        <f>Loans!AI11</f>
        <v>315.52050357237999</v>
      </c>
      <c r="AJ17" s="94">
        <f>Loans!AJ11</f>
        <v>273.03393472194898</v>
      </c>
      <c r="AK17" s="94">
        <f>Loans!AK11</f>
        <v>276.44055605552995</v>
      </c>
      <c r="AL17" s="94">
        <f>Loans!AL11</f>
        <v>279.95722707896812</v>
      </c>
      <c r="AM17" s="94">
        <f>Loans!AM11</f>
        <v>283.76472688294217</v>
      </c>
      <c r="AN17" s="94">
        <f>Loans!AN11</f>
        <v>301.55803906948341</v>
      </c>
      <c r="AO17" s="94">
        <f>Loans!AO11</f>
        <v>304.53223470082537</v>
      </c>
      <c r="AP17" s="94">
        <f>Loans!AP11</f>
        <v>307.53244072653348</v>
      </c>
      <c r="AQ17" s="94">
        <f>Loans!AQ11</f>
        <v>310.55895759875244</v>
      </c>
      <c r="AR17" s="94">
        <f>Loans!AR11</f>
        <v>313.61208971588445</v>
      </c>
      <c r="AS17" s="94">
        <f>Loans!AS11</f>
        <v>316.69214547752705</v>
      </c>
      <c r="AT17" s="209">
        <f>Loans!AT11</f>
        <v>319.7994373401927</v>
      </c>
      <c r="AU17" s="94">
        <f>Loans!AU11</f>
        <v>322.93428187382165</v>
      </c>
      <c r="AV17" s="94">
        <f>Loans!AV11</f>
        <v>326.09699981909807</v>
      </c>
      <c r="AW17" s="94">
        <f>Loans!AW11</f>
        <v>329.28791614558332</v>
      </c>
      <c r="AX17" s="94">
        <f>Loans!AX11</f>
        <v>332.50736011067534</v>
      </c>
      <c r="AY17" s="94">
        <f>Loans!AY11</f>
        <v>335.75566531940854</v>
      </c>
      <c r="AZ17" s="94">
        <f>Loans!AZ11</f>
        <v>339.03316978510475</v>
      </c>
      <c r="BA17" s="94">
        <f>Loans!BA11</f>
        <v>342.34021599088766</v>
      </c>
      <c r="BB17" s="94">
        <f>Loans!BB11</f>
        <v>345.67715095207302</v>
      </c>
      <c r="BC17" s="94">
        <f>Loans!BC11</f>
        <v>347.53240828779747</v>
      </c>
      <c r="BD17" s="94">
        <f>Loans!BD11</f>
        <v>349.27007032923643</v>
      </c>
      <c r="BE17" s="94">
        <f>Loans!BE11</f>
        <v>351.01642068088262</v>
      </c>
      <c r="BF17" s="209">
        <f>Loans!BF11</f>
        <v>352.77150278428695</v>
      </c>
      <c r="BG17" s="94">
        <f>Loans!BG11</f>
        <v>354.53536029820833</v>
      </c>
      <c r="BH17" s="94">
        <f>Loans!BH11</f>
        <v>356.30803709969933</v>
      </c>
      <c r="BI17" s="94">
        <f>Loans!BI11</f>
        <v>358.08957728519783</v>
      </c>
      <c r="BJ17" s="94">
        <f>Loans!BJ11</f>
        <v>359.88002517162374</v>
      </c>
      <c r="BK17" s="94">
        <f>Loans!BK11</f>
        <v>361.67942529748183</v>
      </c>
      <c r="BL17" s="94">
        <f>Loans!BL11</f>
        <v>363.48782242396925</v>
      </c>
      <c r="BM17" s="94">
        <f>Loans!BM11</f>
        <v>365.30526153608906</v>
      </c>
      <c r="BN17" s="94">
        <f>Loans!BN11</f>
        <v>367.13178784376942</v>
      </c>
      <c r="BO17" s="94">
        <f>Loans!BO11</f>
        <v>368.96744678298819</v>
      </c>
      <c r="BP17" s="94">
        <f>Loans!BP11</f>
        <v>370.81228401690305</v>
      </c>
      <c r="BQ17" s="94">
        <f>Loans!BQ11</f>
        <v>372.66634543698757</v>
      </c>
      <c r="BR17" s="209">
        <f>Loans!BR11</f>
        <v>374.52967716417248</v>
      </c>
    </row>
    <row r="18" spans="1:70" s="93" customFormat="1" x14ac:dyDescent="0.3">
      <c r="A18" s="120"/>
      <c r="B18" s="121" t="s">
        <v>146</v>
      </c>
      <c r="E18" s="122">
        <f t="shared" ca="1" si="50"/>
        <v>-581.20022583617526</v>
      </c>
      <c r="F18" s="122">
        <f t="shared" ca="1" si="51"/>
        <v>-1061.7388980398857</v>
      </c>
      <c r="G18" s="122">
        <f t="shared" ca="1" si="52"/>
        <v>-1055.498573575946</v>
      </c>
      <c r="H18" s="122">
        <f t="shared" ca="1" si="53"/>
        <v>-1020.5568722534771</v>
      </c>
      <c r="I18" s="122">
        <f t="shared" ca="1" si="54"/>
        <v>-981.52052261371819</v>
      </c>
      <c r="K18" s="123"/>
      <c r="L18" s="123">
        <f t="shared" ref="L18:AQ18" ca="1" si="55">K46*-RateCredit/12</f>
        <v>-12.773244776310785</v>
      </c>
      <c r="M18" s="123">
        <f t="shared" ca="1" si="55"/>
        <v>-25.003486575230486</v>
      </c>
      <c r="N18" s="123">
        <f t="shared" ca="1" si="55"/>
        <v>-36.570872337623243</v>
      </c>
      <c r="O18" s="123">
        <f t="shared" ca="1" si="55"/>
        <v>-44.481840906234858</v>
      </c>
      <c r="P18" s="123">
        <f t="shared" ca="1" si="55"/>
        <v>-50.596177804783686</v>
      </c>
      <c r="Q18" s="123">
        <f t="shared" ca="1" si="55"/>
        <v>-56.889700949752289</v>
      </c>
      <c r="R18" s="123">
        <f t="shared" ca="1" si="55"/>
        <v>-62.152484627798422</v>
      </c>
      <c r="S18" s="123">
        <f t="shared" ca="1" si="55"/>
        <v>-67.211217267734568</v>
      </c>
      <c r="T18" s="123">
        <f t="shared" ca="1" si="55"/>
        <v>-71.420912889953769</v>
      </c>
      <c r="U18" s="123">
        <f t="shared" ca="1" si="55"/>
        <v>-75.311797840199304</v>
      </c>
      <c r="V18" s="210">
        <f t="shared" ca="1" si="55"/>
        <v>-78.788489860553895</v>
      </c>
      <c r="W18" s="123">
        <f t="shared" ca="1" si="55"/>
        <v>-81.634281525563338</v>
      </c>
      <c r="X18" s="123">
        <f t="shared" ca="1" si="55"/>
        <v>-84.234204149726139</v>
      </c>
      <c r="Y18" s="123">
        <f t="shared" ca="1" si="55"/>
        <v>-86.361207711334885</v>
      </c>
      <c r="Z18" s="123">
        <f t="shared" ca="1" si="55"/>
        <v>-88.089539700563236</v>
      </c>
      <c r="AA18" s="123">
        <f t="shared" ca="1" si="55"/>
        <v>-89.334274326630933</v>
      </c>
      <c r="AB18" s="123">
        <f t="shared" ca="1" si="55"/>
        <v>-90.089795360729951</v>
      </c>
      <c r="AC18" s="123">
        <f t="shared" ca="1" si="55"/>
        <v>-90.966937234693034</v>
      </c>
      <c r="AD18" s="123">
        <f t="shared" ca="1" si="55"/>
        <v>-91.24800586713468</v>
      </c>
      <c r="AE18" s="123">
        <f t="shared" ca="1" si="55"/>
        <v>-90.256550013419357</v>
      </c>
      <c r="AF18" s="123">
        <f t="shared" ca="1" si="55"/>
        <v>-90.052998806602361</v>
      </c>
      <c r="AG18" s="123">
        <f t="shared" ca="1" si="55"/>
        <v>-89.843365420805284</v>
      </c>
      <c r="AH18" s="210">
        <f t="shared" ca="1" si="55"/>
        <v>-89.627737922682627</v>
      </c>
      <c r="AI18" s="123">
        <f t="shared" ca="1" si="55"/>
        <v>-89.40620887861121</v>
      </c>
      <c r="AJ18" s="123">
        <f t="shared" ca="1" si="55"/>
        <v>-89.17887546967728</v>
      </c>
      <c r="AK18" s="123">
        <f t="shared" ca="1" si="55"/>
        <v>-88.856259280582677</v>
      </c>
      <c r="AL18" s="123">
        <f t="shared" ca="1" si="55"/>
        <v>-88.532551961513278</v>
      </c>
      <c r="AM18" s="123">
        <f t="shared" ca="1" si="55"/>
        <v>-88.207918919999258</v>
      </c>
      <c r="AN18" s="123">
        <f t="shared" ca="1" si="55"/>
        <v>-88.230856464733634</v>
      </c>
      <c r="AO18" s="123">
        <f t="shared" ca="1" si="55"/>
        <v>-87.934652139154025</v>
      </c>
      <c r="AP18" s="123">
        <f t="shared" ca="1" si="55"/>
        <v>-87.636199517924112</v>
      </c>
      <c r="AQ18" s="123">
        <f t="shared" ca="1" si="55"/>
        <v>-87.335491170906309</v>
      </c>
      <c r="AR18" s="123">
        <f t="shared" ref="AR18:BR18" ca="1" si="56">AQ46*-RateCredit/12</f>
        <v>-87.032519906633169</v>
      </c>
      <c r="AS18" s="123">
        <f t="shared" ca="1" si="56"/>
        <v>-86.72727877802258</v>
      </c>
      <c r="AT18" s="210">
        <f t="shared" ca="1" si="56"/>
        <v>-86.419761088188622</v>
      </c>
      <c r="AU18" s="123">
        <f t="shared" ca="1" si="56"/>
        <v>-86.10996039634982</v>
      </c>
      <c r="AV18" s="123">
        <f t="shared" ca="1" si="56"/>
        <v>-85.797870523836238</v>
      </c>
      <c r="AW18" s="123">
        <f t="shared" ca="1" si="56"/>
        <v>-85.483485560196712</v>
      </c>
      <c r="AX18" s="123">
        <f t="shared" ca="1" si="56"/>
        <v>-85.166799869408024</v>
      </c>
      <c r="AY18" s="123">
        <f t="shared" ca="1" si="56"/>
        <v>-84.831558096187294</v>
      </c>
      <c r="AZ18" s="123">
        <f t="shared" ca="1" si="56"/>
        <v>-84.510202359909428</v>
      </c>
      <c r="BA18" s="123">
        <f t="shared" ca="1" si="56"/>
        <v>-84.752212427013475</v>
      </c>
      <c r="BB18" s="123">
        <f t="shared" ca="1" si="56"/>
        <v>-84.992256481758815</v>
      </c>
      <c r="BC18" s="123">
        <f t="shared" ca="1" si="56"/>
        <v>-85.23033391096024</v>
      </c>
      <c r="BD18" s="123">
        <f t="shared" ca="1" si="56"/>
        <v>-84.899355750930567</v>
      </c>
      <c r="BE18" s="123">
        <f t="shared" ca="1" si="56"/>
        <v>-84.562653966676223</v>
      </c>
      <c r="BF18" s="210">
        <f t="shared" ca="1" si="56"/>
        <v>-84.220182910250386</v>
      </c>
      <c r="BG18" s="123">
        <f t="shared" ca="1" si="56"/>
        <v>-83.871896646915445</v>
      </c>
      <c r="BH18" s="123">
        <f t="shared" ca="1" si="56"/>
        <v>-83.517748953512893</v>
      </c>
      <c r="BI18" s="123">
        <f t="shared" ca="1" si="56"/>
        <v>-83.157693316824336</v>
      </c>
      <c r="BJ18" s="123">
        <f t="shared" ca="1" si="56"/>
        <v>-82.791682931923702</v>
      </c>
      <c r="BK18" s="123">
        <f t="shared" ca="1" si="56"/>
        <v>-82.419670700520513</v>
      </c>
      <c r="BL18" s="123">
        <f t="shared" ca="1" si="56"/>
        <v>-82.041609229294252</v>
      </c>
      <c r="BM18" s="123">
        <f t="shared" ca="1" si="56"/>
        <v>-81.657450828219837</v>
      </c>
      <c r="BN18" s="123">
        <f t="shared" ca="1" si="56"/>
        <v>-81.218397508883825</v>
      </c>
      <c r="BO18" s="123">
        <f t="shared" ca="1" si="56"/>
        <v>-80.821742545291855</v>
      </c>
      <c r="BP18" s="123">
        <f t="shared" ca="1" si="56"/>
        <v>-80.418845269744864</v>
      </c>
      <c r="BQ18" s="123">
        <f t="shared" ca="1" si="56"/>
        <v>-80.009656786798359</v>
      </c>
      <c r="BR18" s="210">
        <f t="shared" ca="1" si="56"/>
        <v>-79.594127895788333</v>
      </c>
    </row>
    <row r="19" spans="1:70" x14ac:dyDescent="0.3">
      <c r="A19" s="89"/>
      <c r="B19" s="259" t="s">
        <v>194</v>
      </c>
      <c r="E19" s="105">
        <f t="shared" ca="1" si="0"/>
        <v>-13555.476740043592</v>
      </c>
      <c r="F19" s="105">
        <f t="shared" ca="1" si="1"/>
        <v>612.00076107755035</v>
      </c>
      <c r="G19" s="105">
        <f t="shared" ca="1" si="2"/>
        <v>2826.6113769874664</v>
      </c>
      <c r="H19" s="105">
        <f t="shared" ca="1" si="3"/>
        <v>2851.5660885079187</v>
      </c>
      <c r="I19" s="105">
        <f t="shared" ca="1" si="4"/>
        <v>3468.9190825473688</v>
      </c>
      <c r="J19" s="105"/>
      <c r="K19" s="93">
        <f t="shared" ref="K19:AP19" ca="1" si="57">SUM(K13:K18)</f>
        <v>-2340.4855455869674</v>
      </c>
      <c r="L19" s="93">
        <f t="shared" ca="1" si="57"/>
        <v>-2205.6062781325936</v>
      </c>
      <c r="M19" s="93">
        <f t="shared" ca="1" si="57"/>
        <v>-2069.6051000796328</v>
      </c>
      <c r="N19" s="93">
        <f t="shared" ca="1" si="57"/>
        <v>-1114.7716843729752</v>
      </c>
      <c r="O19" s="93">
        <f t="shared" ca="1" si="57"/>
        <v>-1027.8617965775454</v>
      </c>
      <c r="P19" s="93">
        <f t="shared" ca="1" si="57"/>
        <v>-943.66194783975232</v>
      </c>
      <c r="Q19" s="93">
        <f t="shared" ca="1" si="57"/>
        <v>-859.28494550561106</v>
      </c>
      <c r="R19" s="93">
        <f t="shared" ca="1" si="57"/>
        <v>-773.51898693148189</v>
      </c>
      <c r="S19" s="93">
        <f t="shared" ca="1" si="57"/>
        <v>-687.1888743264567</v>
      </c>
      <c r="T19" s="93">
        <f t="shared" ca="1" si="57"/>
        <v>-599.64772615524612</v>
      </c>
      <c r="U19" s="93">
        <f t="shared" ca="1" si="57"/>
        <v>-511.42386382517378</v>
      </c>
      <c r="V19" s="102">
        <f t="shared" ca="1" si="57"/>
        <v>-422.41999071015516</v>
      </c>
      <c r="W19" s="93">
        <f t="shared" ca="1" si="57"/>
        <v>-335.80922495045604</v>
      </c>
      <c r="X19" s="93">
        <f t="shared" ca="1" si="57"/>
        <v>-245.2081244162504</v>
      </c>
      <c r="Y19" s="93">
        <f t="shared" ca="1" si="57"/>
        <v>-153.7625716015749</v>
      </c>
      <c r="Z19" s="93">
        <f t="shared" ca="1" si="57"/>
        <v>-61.544861858615249</v>
      </c>
      <c r="AA19" s="93">
        <f t="shared" ca="1" si="57"/>
        <v>31.531892407615075</v>
      </c>
      <c r="AB19" s="93">
        <f t="shared" ca="1" si="57"/>
        <v>125.47527894477243</v>
      </c>
      <c r="AC19" s="93">
        <f t="shared" ca="1" si="57"/>
        <v>125.67596244233658</v>
      </c>
      <c r="AD19" s="93">
        <f t="shared" ca="1" si="57"/>
        <v>220.9485928799316</v>
      </c>
      <c r="AE19" s="93">
        <f t="shared" ca="1" si="57"/>
        <v>223.5010317273817</v>
      </c>
      <c r="AF19" s="93">
        <f t="shared" ca="1" si="57"/>
        <v>225.27337084290315</v>
      </c>
      <c r="AG19" s="93">
        <f t="shared" ca="1" si="57"/>
        <v>227.05963607694758</v>
      </c>
      <c r="AH19" s="102">
        <f t="shared" ca="1" si="57"/>
        <v>228.85977858255887</v>
      </c>
      <c r="AI19" s="93">
        <f t="shared" ca="1" si="57"/>
        <v>230.67374520915587</v>
      </c>
      <c r="AJ19" s="93">
        <f t="shared" ca="1" si="57"/>
        <v>232.50147838852854</v>
      </c>
      <c r="AK19" s="93">
        <f t="shared" ca="1" si="57"/>
        <v>234.43249634691449</v>
      </c>
      <c r="AL19" s="93">
        <f t="shared" ca="1" si="57"/>
        <v>236.37264744412141</v>
      </c>
      <c r="AM19" s="93">
        <f t="shared" ca="1" si="57"/>
        <v>172.06551908148441</v>
      </c>
      <c r="AN19" s="93">
        <f t="shared" ca="1" si="57"/>
        <v>239.93151756494245</v>
      </c>
      <c r="AO19" s="93">
        <f t="shared" ca="1" si="57"/>
        <v>241.86853376066978</v>
      </c>
      <c r="AP19" s="93">
        <f t="shared" ca="1" si="57"/>
        <v>243.81600231139964</v>
      </c>
      <c r="AQ19" s="93">
        <f t="shared" ref="AQ19:BR19" ca="1" si="58">SUM(AQ13:AQ18)</f>
        <v>245.7739716675635</v>
      </c>
      <c r="AR19" s="93">
        <f t="shared" ca="1" si="58"/>
        <v>247.74249024602915</v>
      </c>
      <c r="AS19" s="93">
        <f t="shared" ca="1" si="58"/>
        <v>249.72160642540302</v>
      </c>
      <c r="AT19" s="102">
        <f t="shared" ca="1" si="58"/>
        <v>251.71136854125393</v>
      </c>
      <c r="AU19" s="93">
        <f t="shared" ca="1" si="58"/>
        <v>253.71182488123964</v>
      </c>
      <c r="AV19" s="93">
        <f t="shared" ca="1" si="58"/>
        <v>255.72302368014141</v>
      </c>
      <c r="AW19" s="93">
        <f t="shared" ca="1" si="58"/>
        <v>257.74501311480054</v>
      </c>
      <c r="AX19" s="93">
        <f t="shared" ca="1" si="58"/>
        <v>259.77784129896463</v>
      </c>
      <c r="AY19" s="93">
        <f t="shared" ca="1" si="58"/>
        <v>261.83780627802753</v>
      </c>
      <c r="AZ19" s="93">
        <f t="shared" ca="1" si="58"/>
        <v>157.19589205142591</v>
      </c>
      <c r="BA19" s="93">
        <f t="shared" ca="1" si="58"/>
        <v>158.80259215708719</v>
      </c>
      <c r="BB19" s="93">
        <f t="shared" ca="1" si="58"/>
        <v>160.41986164627014</v>
      </c>
      <c r="BC19" s="93">
        <f t="shared" ca="1" si="58"/>
        <v>268.42459170674533</v>
      </c>
      <c r="BD19" s="93">
        <f t="shared" ca="1" si="58"/>
        <v>270.52384449486328</v>
      </c>
      <c r="BE19" s="93">
        <f t="shared" ca="1" si="58"/>
        <v>272.63766228034615</v>
      </c>
      <c r="BF19" s="102">
        <f t="shared" ca="1" si="58"/>
        <v>274.76613491800731</v>
      </c>
      <c r="BG19" s="93">
        <f t="shared" ca="1" si="58"/>
        <v>276.90935277048339</v>
      </c>
      <c r="BH19" s="93">
        <f t="shared" ca="1" si="58"/>
        <v>279.06740671097327</v>
      </c>
      <c r="BI19" s="93">
        <f t="shared" ca="1" si="58"/>
        <v>281.24038812598462</v>
      </c>
      <c r="BJ19" s="93">
        <f t="shared" ca="1" si="58"/>
        <v>283.42838891809879</v>
      </c>
      <c r="BK19" s="93">
        <f t="shared" ca="1" si="58"/>
        <v>285.63150150875242</v>
      </c>
      <c r="BL19" s="93">
        <f t="shared" ca="1" si="58"/>
        <v>287.84981884102478</v>
      </c>
      <c r="BM19" s="93">
        <f t="shared" ca="1" si="58"/>
        <v>290.08343438245021</v>
      </c>
      <c r="BN19" s="93">
        <f t="shared" ca="1" si="58"/>
        <v>292.38119212784039</v>
      </c>
      <c r="BO19" s="93">
        <f t="shared" ca="1" si="58"/>
        <v>294.64584503961601</v>
      </c>
      <c r="BP19" s="93">
        <f t="shared" ca="1" si="58"/>
        <v>296.9260802530867</v>
      </c>
      <c r="BQ19" s="93">
        <f t="shared" ca="1" si="58"/>
        <v>299.2219933636481</v>
      </c>
      <c r="BR19" s="102">
        <f t="shared" ca="1" si="58"/>
        <v>301.53368050541002</v>
      </c>
    </row>
    <row r="20" spans="1:70" s="93" customFormat="1" hidden="1" x14ac:dyDescent="0.3">
      <c r="A20" s="120"/>
      <c r="B20" s="264" t="s">
        <v>99</v>
      </c>
      <c r="E20" s="96">
        <f t="shared" si="0"/>
        <v>185.03343559349858</v>
      </c>
      <c r="F20" s="96">
        <f t="shared" si="1"/>
        <v>196.44589302267605</v>
      </c>
      <c r="G20" s="96">
        <f t="shared" si="2"/>
        <v>208.56224585408205</v>
      </c>
      <c r="H20" s="96">
        <f t="shared" si="3"/>
        <v>221.42590881590735</v>
      </c>
      <c r="I20" s="96">
        <f t="shared" si="4"/>
        <v>235.08297436178043</v>
      </c>
      <c r="K20" s="94">
        <f>Income!K5</f>
        <v>15</v>
      </c>
      <c r="L20" s="95">
        <f>Income!L5</f>
        <v>15.074999999999998</v>
      </c>
      <c r="M20" s="95">
        <f>Income!M5</f>
        <v>15.150374999999995</v>
      </c>
      <c r="N20" s="95">
        <f>Income!N5</f>
        <v>15.226126874999993</v>
      </c>
      <c r="O20" s="95">
        <f>Income!O5</f>
        <v>15.302257509374993</v>
      </c>
      <c r="P20" s="95">
        <f>Income!P5</f>
        <v>15.378768796921864</v>
      </c>
      <c r="Q20" s="95">
        <f>Income!Q5</f>
        <v>15.455662640906471</v>
      </c>
      <c r="R20" s="95">
        <f>Income!R5</f>
        <v>15.532940954111002</v>
      </c>
      <c r="S20" s="95">
        <f>Income!S5</f>
        <v>15.610605658881555</v>
      </c>
      <c r="T20" s="95">
        <f>Income!T5</f>
        <v>15.688658687175961</v>
      </c>
      <c r="U20" s="95">
        <f>Income!U5</f>
        <v>15.767101980611839</v>
      </c>
      <c r="V20" s="96">
        <f>Income!V5</f>
        <v>15.845937490514896</v>
      </c>
      <c r="W20" s="94">
        <f>Income!W5</f>
        <v>15.925167177967467</v>
      </c>
      <c r="X20" s="95">
        <f>Income!X5</f>
        <v>16.004793013857302</v>
      </c>
      <c r="Y20" s="95">
        <f>Income!Y5</f>
        <v>16.08481697892659</v>
      </c>
      <c r="Z20" s="95">
        <f>Income!Z5</f>
        <v>16.16524106382122</v>
      </c>
      <c r="AA20" s="95">
        <f>Income!AA5</f>
        <v>16.246067269140323</v>
      </c>
      <c r="AB20" s="95">
        <f>Income!AB5</f>
        <v>16.327297605486024</v>
      </c>
      <c r="AC20" s="95">
        <f>Income!AC5</f>
        <v>16.408934093513452</v>
      </c>
      <c r="AD20" s="95">
        <f>Income!AD5</f>
        <v>16.490978763981015</v>
      </c>
      <c r="AE20" s="95">
        <f>Income!AE5</f>
        <v>16.573433657800919</v>
      </c>
      <c r="AF20" s="95">
        <f>Income!AF5</f>
        <v>16.656300826089922</v>
      </c>
      <c r="AG20" s="95">
        <f>Income!AG5</f>
        <v>16.739582330220369</v>
      </c>
      <c r="AH20" s="96">
        <f>Income!AH5</f>
        <v>16.823280241871469</v>
      </c>
      <c r="AI20" s="94">
        <f>Income!AI5</f>
        <v>16.907396643080826</v>
      </c>
      <c r="AJ20" s="95">
        <f>Income!AJ5</f>
        <v>16.99193362629623</v>
      </c>
      <c r="AK20" s="95">
        <f>Income!AK5</f>
        <v>17.076893294427709</v>
      </c>
      <c r="AL20" s="95">
        <f>Income!AL5</f>
        <v>17.162277760899844</v>
      </c>
      <c r="AM20" s="95">
        <f>Income!AM5</f>
        <v>17.248089149704342</v>
      </c>
      <c r="AN20" s="95">
        <f>Income!AN5</f>
        <v>17.334329595452864</v>
      </c>
      <c r="AO20" s="95">
        <f>Income!AO5</f>
        <v>17.421001243430126</v>
      </c>
      <c r="AP20" s="95">
        <f>Income!AP5</f>
        <v>17.508106249647273</v>
      </c>
      <c r="AQ20" s="95">
        <f>Income!AQ5</f>
        <v>17.59564678089551</v>
      </c>
      <c r="AR20" s="95">
        <f>Income!AR5</f>
        <v>17.683625014799986</v>
      </c>
      <c r="AS20" s="95">
        <f>Income!AS5</f>
        <v>17.772043139873983</v>
      </c>
      <c r="AT20" s="96">
        <f>Income!AT5</f>
        <v>17.860903355573353</v>
      </c>
      <c r="AU20" s="94">
        <f>Income!AU5</f>
        <v>17.950207872351218</v>
      </c>
      <c r="AV20" s="95">
        <f>Income!AV5</f>
        <v>18.039958911712972</v>
      </c>
      <c r="AW20" s="95">
        <f>Income!AW5</f>
        <v>18.130158706271533</v>
      </c>
      <c r="AX20" s="95">
        <f>Income!AX5</f>
        <v>18.22080949980289</v>
      </c>
      <c r="AY20" s="95">
        <f>Income!AY5</f>
        <v>18.311913547301902</v>
      </c>
      <c r="AZ20" s="95">
        <f>Income!AZ5</f>
        <v>18.403473115038409</v>
      </c>
      <c r="BA20" s="95">
        <f>Income!BA5</f>
        <v>18.495490480613601</v>
      </c>
      <c r="BB20" s="95">
        <f>Income!BB5</f>
        <v>18.587967933016664</v>
      </c>
      <c r="BC20" s="95">
        <f>Income!BC5</f>
        <v>18.680907772681746</v>
      </c>
      <c r="BD20" s="95">
        <f>Income!BD5</f>
        <v>18.774312311545152</v>
      </c>
      <c r="BE20" s="95">
        <f>Income!BE5</f>
        <v>18.868183873102879</v>
      </c>
      <c r="BF20" s="96">
        <f>Income!BF5</f>
        <v>18.96252479246839</v>
      </c>
      <c r="BG20" s="94">
        <f>Income!BG5</f>
        <v>19.05733741643073</v>
      </c>
      <c r="BH20" s="95">
        <f>Income!BH5</f>
        <v>19.152624103512881</v>
      </c>
      <c r="BI20" s="95">
        <f>Income!BI5</f>
        <v>19.248387224030441</v>
      </c>
      <c r="BJ20" s="95">
        <f>Income!BJ5</f>
        <v>19.344629160150593</v>
      </c>
      <c r="BK20" s="95">
        <f>Income!BK5</f>
        <v>19.441352305951344</v>
      </c>
      <c r="BL20" s="95">
        <f>Income!BL5</f>
        <v>19.538559067481099</v>
      </c>
      <c r="BM20" s="95">
        <f>Income!BM5</f>
        <v>19.636251862818501</v>
      </c>
      <c r="BN20" s="95">
        <f>Income!BN5</f>
        <v>19.734433122132589</v>
      </c>
      <c r="BO20" s="95">
        <f>Income!BO5</f>
        <v>19.833105287743251</v>
      </c>
      <c r="BP20" s="95">
        <f>Income!BP5</f>
        <v>19.932270814181965</v>
      </c>
      <c r="BQ20" s="95">
        <f>Income!BQ5</f>
        <v>20.031932168252876</v>
      </c>
      <c r="BR20" s="96">
        <f>Income!BR5</f>
        <v>20.132091829094136</v>
      </c>
    </row>
    <row r="21" spans="1:70" s="93" customFormat="1" hidden="1" x14ac:dyDescent="0.3">
      <c r="A21" s="120"/>
      <c r="B21" s="264" t="s">
        <v>100</v>
      </c>
      <c r="E21" s="96">
        <f t="shared" si="0"/>
        <v>339.2279652547474</v>
      </c>
      <c r="F21" s="96">
        <f t="shared" si="1"/>
        <v>360.1508038749061</v>
      </c>
      <c r="G21" s="96">
        <f t="shared" si="2"/>
        <v>382.36411739915036</v>
      </c>
      <c r="H21" s="96">
        <f t="shared" si="3"/>
        <v>405.94749949583013</v>
      </c>
      <c r="I21" s="96">
        <f t="shared" si="4"/>
        <v>430.98545299659747</v>
      </c>
      <c r="K21" s="94">
        <f>Income!K6</f>
        <v>27.5</v>
      </c>
      <c r="L21" s="95">
        <f>Income!L6</f>
        <v>27.637499999999992</v>
      </c>
      <c r="M21" s="95">
        <f>Income!M6</f>
        <v>27.775687499999989</v>
      </c>
      <c r="N21" s="95">
        <f>Income!N6</f>
        <v>27.914565937499987</v>
      </c>
      <c r="O21" s="95">
        <f>Income!O6</f>
        <v>28.054138767187489</v>
      </c>
      <c r="P21" s="95">
        <f>Income!P6</f>
        <v>28.194409461023419</v>
      </c>
      <c r="Q21" s="95">
        <f>Income!Q6</f>
        <v>28.335381508328528</v>
      </c>
      <c r="R21" s="95">
        <f>Income!R6</f>
        <v>28.477058415870168</v>
      </c>
      <c r="S21" s="95">
        <f>Income!S6</f>
        <v>28.619443707949518</v>
      </c>
      <c r="T21" s="95">
        <f>Income!T6</f>
        <v>28.762540926489258</v>
      </c>
      <c r="U21" s="95">
        <f>Income!U6</f>
        <v>28.906353631121704</v>
      </c>
      <c r="V21" s="96">
        <f>Income!V6</f>
        <v>29.050885399277306</v>
      </c>
      <c r="W21" s="94">
        <f>Income!W6</f>
        <v>29.19613982627369</v>
      </c>
      <c r="X21" s="95">
        <f>Income!X6</f>
        <v>29.342120525405054</v>
      </c>
      <c r="Y21" s="95">
        <f>Income!Y6</f>
        <v>29.488831128032075</v>
      </c>
      <c r="Z21" s="95">
        <f>Income!Z6</f>
        <v>29.636275283672237</v>
      </c>
      <c r="AA21" s="95">
        <f>Income!AA6</f>
        <v>29.784456660090591</v>
      </c>
      <c r="AB21" s="95">
        <f>Income!AB6</f>
        <v>29.933378943391038</v>
      </c>
      <c r="AC21" s="95">
        <f>Income!AC6</f>
        <v>30.083045838107992</v>
      </c>
      <c r="AD21" s="95">
        <f>Income!AD6</f>
        <v>30.233461067298528</v>
      </c>
      <c r="AE21" s="95">
        <f>Income!AE6</f>
        <v>30.384628372635021</v>
      </c>
      <c r="AF21" s="95">
        <f>Income!AF6</f>
        <v>30.536551514498189</v>
      </c>
      <c r="AG21" s="95">
        <f>Income!AG6</f>
        <v>30.689234272070678</v>
      </c>
      <c r="AH21" s="96">
        <f>Income!AH6</f>
        <v>30.842680443431025</v>
      </c>
      <c r="AI21" s="94">
        <f>Income!AI6</f>
        <v>30.996893845648181</v>
      </c>
      <c r="AJ21" s="95">
        <f>Income!AJ6</f>
        <v>31.15187831487642</v>
      </c>
      <c r="AK21" s="95">
        <f>Income!AK6</f>
        <v>31.307637706450798</v>
      </c>
      <c r="AL21" s="95">
        <f>Income!AL6</f>
        <v>31.46417589498305</v>
      </c>
      <c r="AM21" s="95">
        <f>Income!AM6</f>
        <v>31.621496774457963</v>
      </c>
      <c r="AN21" s="95">
        <f>Income!AN6</f>
        <v>31.779604258330249</v>
      </c>
      <c r="AO21" s="95">
        <f>Income!AO6</f>
        <v>31.938502279621897</v>
      </c>
      <c r="AP21" s="95">
        <f>Income!AP6</f>
        <v>32.098194791019999</v>
      </c>
      <c r="AQ21" s="95">
        <f>Income!AQ6</f>
        <v>32.258685764975098</v>
      </c>
      <c r="AR21" s="95">
        <f>Income!AR6</f>
        <v>32.419979193799975</v>
      </c>
      <c r="AS21" s="95">
        <f>Income!AS6</f>
        <v>32.582079089768968</v>
      </c>
      <c r="AT21" s="96">
        <f>Income!AT6</f>
        <v>32.744989485217815</v>
      </c>
      <c r="AU21" s="94">
        <f>Income!AU6</f>
        <v>32.908714432643897</v>
      </c>
      <c r="AV21" s="95">
        <f>Income!AV6</f>
        <v>33.073258004807109</v>
      </c>
      <c r="AW21" s="95">
        <f>Income!AW6</f>
        <v>33.238624294831148</v>
      </c>
      <c r="AX21" s="95">
        <f>Income!AX6</f>
        <v>33.404817416305299</v>
      </c>
      <c r="AY21" s="95">
        <f>Income!AY6</f>
        <v>33.571841503386821</v>
      </c>
      <c r="AZ21" s="95">
        <f>Income!AZ6</f>
        <v>33.739700710903747</v>
      </c>
      <c r="BA21" s="95">
        <f>Income!BA6</f>
        <v>33.908399214458264</v>
      </c>
      <c r="BB21" s="95">
        <f>Income!BB6</f>
        <v>34.077941210530554</v>
      </c>
      <c r="BC21" s="95">
        <f>Income!BC6</f>
        <v>34.2483309165832</v>
      </c>
      <c r="BD21" s="95">
        <f>Income!BD6</f>
        <v>34.419572571166114</v>
      </c>
      <c r="BE21" s="95">
        <f>Income!BE6</f>
        <v>34.591670434021943</v>
      </c>
      <c r="BF21" s="96">
        <f>Income!BF6</f>
        <v>34.764628786192048</v>
      </c>
      <c r="BG21" s="94">
        <f>Income!BG6</f>
        <v>34.938451930123001</v>
      </c>
      <c r="BH21" s="95">
        <f>Income!BH6</f>
        <v>35.113144189773614</v>
      </c>
      <c r="BI21" s="95">
        <f>Income!BI6</f>
        <v>35.288709910722481</v>
      </c>
      <c r="BJ21" s="95">
        <f>Income!BJ6</f>
        <v>35.465153460276092</v>
      </c>
      <c r="BK21" s="95">
        <f>Income!BK6</f>
        <v>35.642479227577461</v>
      </c>
      <c r="BL21" s="95">
        <f>Income!BL6</f>
        <v>35.820691623715348</v>
      </c>
      <c r="BM21" s="95">
        <f>Income!BM6</f>
        <v>35.999795081833916</v>
      </c>
      <c r="BN21" s="95">
        <f>Income!BN6</f>
        <v>36.179794057243086</v>
      </c>
      <c r="BO21" s="95">
        <f>Income!BO6</f>
        <v>36.360693027529294</v>
      </c>
      <c r="BP21" s="95">
        <f>Income!BP6</f>
        <v>36.542496492666942</v>
      </c>
      <c r="BQ21" s="95">
        <f>Income!BQ6</f>
        <v>36.725208975130265</v>
      </c>
      <c r="BR21" s="96">
        <f>Income!BR6</f>
        <v>36.90883502000591</v>
      </c>
    </row>
    <row r="22" spans="1:70" s="93" customFormat="1" hidden="1" x14ac:dyDescent="0.3">
      <c r="A22" s="120"/>
      <c r="B22" s="264" t="s">
        <v>142</v>
      </c>
      <c r="E22" s="96">
        <f t="shared" ca="1" si="0"/>
        <v>202.79706089993576</v>
      </c>
      <c r="F22" s="96">
        <f t="shared" ca="1" si="1"/>
        <v>338.27493923819429</v>
      </c>
      <c r="G22" s="96">
        <f t="shared" ca="1" si="2"/>
        <v>341.61182949959846</v>
      </c>
      <c r="H22" s="96">
        <f t="shared" ca="1" si="3"/>
        <v>341.77966645660121</v>
      </c>
      <c r="I22" s="96">
        <f t="shared" ca="1" si="4"/>
        <v>344.43989936296521</v>
      </c>
      <c r="K22" s="94">
        <f ca="1">Income!K7</f>
        <v>3.9591425759782792</v>
      </c>
      <c r="L22" s="95">
        <f ca="1">Income!L7</f>
        <v>7.7331547196638066</v>
      </c>
      <c r="M22" s="95">
        <f ca="1">Income!M7</f>
        <v>11.318256505638594</v>
      </c>
      <c r="N22" s="95">
        <f ca="1">Income!N7</f>
        <v>13.381194952769391</v>
      </c>
      <c r="O22" s="95">
        <f ca="1">Income!O7</f>
        <v>15.320202545646742</v>
      </c>
      <c r="P22" s="95">
        <f ca="1">Income!P7</f>
        <v>17.138941430443179</v>
      </c>
      <c r="Q22" s="95">
        <f ca="1">Income!Q7</f>
        <v>18.834990358484156</v>
      </c>
      <c r="R22" s="95">
        <f ca="1">Income!R7</f>
        <v>20.405888111181042</v>
      </c>
      <c r="S22" s="95">
        <f ca="1">Income!S7</f>
        <v>21.849132876136096</v>
      </c>
      <c r="T22" s="95">
        <f ca="1">Income!T7</f>
        <v>23.158549979716316</v>
      </c>
      <c r="U22" s="95">
        <f ca="1">Income!U7</f>
        <v>24.331660217653816</v>
      </c>
      <c r="V22" s="96">
        <f ca="1">Income!V7</f>
        <v>25.365946626624361</v>
      </c>
      <c r="W22" s="94">
        <f ca="1">Income!W7</f>
        <v>26.264368983268128</v>
      </c>
      <c r="X22" s="95">
        <f ca="1">Income!X7</f>
        <v>27.020089849831741</v>
      </c>
      <c r="Y22" s="95">
        <f ca="1">Income!Y7</f>
        <v>27.630425507022473</v>
      </c>
      <c r="Z22" s="95">
        <f ca="1">Income!Z7</f>
        <v>28.092650159978088</v>
      </c>
      <c r="AA22" s="95">
        <f ca="1">Income!AA7</f>
        <v>28.403995313427068</v>
      </c>
      <c r="AB22" s="95">
        <f ca="1">Income!AB7</f>
        <v>28.561649137726196</v>
      </c>
      <c r="AC22" s="95">
        <f ca="1">Income!AC7</f>
        <v>28.719423295911277</v>
      </c>
      <c r="AD22" s="95">
        <f ca="1">Income!AD7</f>
        <v>28.719784207387566</v>
      </c>
      <c r="AE22" s="95">
        <f ca="1">Income!AE7</f>
        <v>28.719059191926924</v>
      </c>
      <c r="AF22" s="95">
        <f ca="1">Income!AF7</f>
        <v>28.717348430090482</v>
      </c>
      <c r="AG22" s="95">
        <f ca="1">Income!AG7</f>
        <v>28.714755865311098</v>
      </c>
      <c r="AH22" s="96">
        <f ca="1">Income!AH7</f>
        <v>28.711389296313307</v>
      </c>
      <c r="AI22" s="94">
        <f ca="1">Income!AI7</f>
        <v>28.707360471460927</v>
      </c>
      <c r="AJ22" s="95">
        <f ca="1">Income!AJ7</f>
        <v>28.630018802641796</v>
      </c>
      <c r="AK22" s="95">
        <f ca="1">Income!AK7</f>
        <v>28.555913723383032</v>
      </c>
      <c r="AL22" s="95">
        <f ca="1">Income!AL7</f>
        <v>28.485212820973178</v>
      </c>
      <c r="AM22" s="95">
        <f ca="1">Income!AM7</f>
        <v>28.526118551288924</v>
      </c>
      <c r="AN22" s="95">
        <f ca="1">Income!AN7</f>
        <v>28.486348675187998</v>
      </c>
      <c r="AO22" s="95">
        <f ca="1">Income!AO7</f>
        <v>28.449006359235415</v>
      </c>
      <c r="AP22" s="95">
        <f ca="1">Income!AP7</f>
        <v>28.414119680516077</v>
      </c>
      <c r="AQ22" s="95">
        <f ca="1">Income!AQ7</f>
        <v>28.381717124561298</v>
      </c>
      <c r="AR22" s="95">
        <f ca="1">Income!AR7</f>
        <v>28.351827591196333</v>
      </c>
      <c r="AS22" s="95">
        <f ca="1">Income!AS7</f>
        <v>28.32448040047197</v>
      </c>
      <c r="AT22" s="96">
        <f ca="1">Income!AT7</f>
        <v>28.299705298681459</v>
      </c>
      <c r="AU22" s="94">
        <f ca="1">Income!AU7</f>
        <v>28.277532464464006</v>
      </c>
      <c r="AV22" s="95">
        <f ca="1">Income!AV7</f>
        <v>28.257992514996019</v>
      </c>
      <c r="AW22" s="95">
        <f ca="1">Income!AW7</f>
        <v>28.241116512271464</v>
      </c>
      <c r="AX22" s="95">
        <f ca="1">Income!AX7</f>
        <v>28.226935969472525</v>
      </c>
      <c r="AY22" s="95">
        <f ca="1">Income!AY7</f>
        <v>28.215482857431923</v>
      </c>
      <c r="AZ22" s="95">
        <f ca="1">Income!AZ7</f>
        <v>28.384617305829416</v>
      </c>
      <c r="BA22" s="95">
        <f ca="1">Income!BA7</f>
        <v>28.556188870528374</v>
      </c>
      <c r="BB22" s="95">
        <f ca="1">Income!BB7</f>
        <v>28.730231468506361</v>
      </c>
      <c r="BC22" s="95">
        <f ca="1">Income!BC7</f>
        <v>28.726964892290489</v>
      </c>
      <c r="BD22" s="95">
        <f ca="1">Income!BD7</f>
        <v>28.723828900927092</v>
      </c>
      <c r="BE22" s="95">
        <f ca="1">Income!BE7</f>
        <v>28.720824000422709</v>
      </c>
      <c r="BF22" s="96">
        <f ca="1">Income!BF7</f>
        <v>28.717950699460818</v>
      </c>
      <c r="BG22" s="94">
        <f ca="1">Income!BG7</f>
        <v>28.715209509415079</v>
      </c>
      <c r="BH22" s="95">
        <f ca="1">Income!BH7</f>
        <v>28.712600944362652</v>
      </c>
      <c r="BI22" s="95">
        <f ca="1">Income!BI7</f>
        <v>28.710125521097556</v>
      </c>
      <c r="BJ22" s="95">
        <f ca="1">Income!BJ7</f>
        <v>28.707783759144128</v>
      </c>
      <c r="BK22" s="95">
        <f ca="1">Income!BK7</f>
        <v>28.705576180770489</v>
      </c>
      <c r="BL22" s="95">
        <f ca="1">Income!BL7</f>
        <v>28.703503311002152</v>
      </c>
      <c r="BM22" s="95">
        <f ca="1">Income!BM7</f>
        <v>28.701565677635653</v>
      </c>
      <c r="BN22" s="95">
        <f ca="1">Income!BN7</f>
        <v>28.699763811252236</v>
      </c>
      <c r="BO22" s="95">
        <f ca="1">Income!BO7</f>
        <v>28.698098245231677</v>
      </c>
      <c r="BP22" s="95">
        <f ca="1">Income!BP7</f>
        <v>28.696569515766086</v>
      </c>
      <c r="BQ22" s="95">
        <f ca="1">Income!BQ7</f>
        <v>28.695178161873859</v>
      </c>
      <c r="BR22" s="96">
        <f ca="1">Income!BR7</f>
        <v>28.693924725413648</v>
      </c>
    </row>
    <row r="23" spans="1:70" s="93" customFormat="1" hidden="1" x14ac:dyDescent="0.3">
      <c r="A23" s="120"/>
      <c r="B23" s="265" t="s">
        <v>102</v>
      </c>
      <c r="E23" s="122">
        <f t="shared" ca="1" si="0"/>
        <v>42.587382788986517</v>
      </c>
      <c r="F23" s="122">
        <f t="shared" ca="1" si="1"/>
        <v>71.037737240020817</v>
      </c>
      <c r="G23" s="122">
        <f t="shared" ca="1" si="2"/>
        <v>71.738484194915671</v>
      </c>
      <c r="H23" s="122">
        <f t="shared" ca="1" si="3"/>
        <v>71.773729955886239</v>
      </c>
      <c r="I23" s="122">
        <f t="shared" ca="1" si="4"/>
        <v>72.332378866222697</v>
      </c>
      <c r="K23" s="123">
        <f ca="1">Income!K8</f>
        <v>0.8314199409554387</v>
      </c>
      <c r="L23" s="124">
        <f ca="1">Income!L8</f>
        <v>1.6239624911293995</v>
      </c>
      <c r="M23" s="124">
        <f ca="1">Income!M8</f>
        <v>2.3768338661841049</v>
      </c>
      <c r="N23" s="124">
        <f ca="1">Income!N8</f>
        <v>2.8100509400815725</v>
      </c>
      <c r="O23" s="124">
        <f ca="1">Income!O8</f>
        <v>3.2172425345858158</v>
      </c>
      <c r="P23" s="124">
        <f ca="1">Income!P8</f>
        <v>3.5991777003930676</v>
      </c>
      <c r="Q23" s="124">
        <f ca="1">Income!Q8</f>
        <v>3.9553479752816725</v>
      </c>
      <c r="R23" s="124">
        <f ca="1">Income!R8</f>
        <v>4.2852365033480195</v>
      </c>
      <c r="S23" s="124">
        <f ca="1">Income!S8</f>
        <v>4.58831790398858</v>
      </c>
      <c r="T23" s="124">
        <f ca="1">Income!T8</f>
        <v>4.8632954957404264</v>
      </c>
      <c r="U23" s="124">
        <f ca="1">Income!U8</f>
        <v>5.1096486457073018</v>
      </c>
      <c r="V23" s="198">
        <f ca="1">Income!V8</f>
        <v>5.3268487915911162</v>
      </c>
      <c r="W23" s="124">
        <f ca="1">Income!W8</f>
        <v>5.5155174864863072</v>
      </c>
      <c r="X23" s="124">
        <f ca="1">Income!X8</f>
        <v>5.6742188684646662</v>
      </c>
      <c r="Y23" s="124">
        <f ca="1">Income!Y8</f>
        <v>5.8023893564747198</v>
      </c>
      <c r="Z23" s="124">
        <f ca="1">Income!Z8</f>
        <v>5.8994565335953988</v>
      </c>
      <c r="AA23" s="124">
        <f ca="1">Income!AA8</f>
        <v>5.9648390158196847</v>
      </c>
      <c r="AB23" s="124">
        <f ca="1">Income!AB8</f>
        <v>5.9979463189225015</v>
      </c>
      <c r="AC23" s="124">
        <f ca="1">Income!AC8</f>
        <v>6.0310788921413687</v>
      </c>
      <c r="AD23" s="124">
        <f ca="1">Income!AD8</f>
        <v>6.0311546835513896</v>
      </c>
      <c r="AE23" s="124">
        <f ca="1">Income!AE8</f>
        <v>6.031002430304655</v>
      </c>
      <c r="AF23" s="124">
        <f ca="1">Income!AF8</f>
        <v>6.0306431703190011</v>
      </c>
      <c r="AG23" s="124">
        <f ca="1">Income!AG8</f>
        <v>6.0300987317153307</v>
      </c>
      <c r="AH23" s="198">
        <f ca="1">Income!AH8</f>
        <v>6.0293917522257949</v>
      </c>
      <c r="AI23" s="124">
        <f ca="1">Income!AI8</f>
        <v>6.0285456990067949</v>
      </c>
      <c r="AJ23" s="124">
        <f ca="1">Income!AJ8</f>
        <v>6.012303948554778</v>
      </c>
      <c r="AK23" s="124">
        <f ca="1">Income!AK8</f>
        <v>5.9967418819104372</v>
      </c>
      <c r="AL23" s="124">
        <f ca="1">Income!AL8</f>
        <v>5.9818946924043672</v>
      </c>
      <c r="AM23" s="124">
        <f ca="1">Income!AM8</f>
        <v>5.990484895770674</v>
      </c>
      <c r="AN23" s="124">
        <f ca="1">Income!AN8</f>
        <v>5.9821332217894794</v>
      </c>
      <c r="AO23" s="124">
        <f ca="1">Income!AO8</f>
        <v>5.974291335439438</v>
      </c>
      <c r="AP23" s="124">
        <f ca="1">Income!AP8</f>
        <v>5.9669651329083768</v>
      </c>
      <c r="AQ23" s="124">
        <f ca="1">Income!AQ8</f>
        <v>5.9601605961578734</v>
      </c>
      <c r="AR23" s="124">
        <f ca="1">Income!AR8</f>
        <v>5.9538837941512304</v>
      </c>
      <c r="AS23" s="124">
        <f ca="1">Income!AS8</f>
        <v>5.9481408840991135</v>
      </c>
      <c r="AT23" s="198">
        <f ca="1">Income!AT8</f>
        <v>5.9429381127231062</v>
      </c>
      <c r="AU23" s="124">
        <f ca="1">Income!AU8</f>
        <v>5.9382818175374412</v>
      </c>
      <c r="AV23" s="124">
        <f ca="1">Income!AV8</f>
        <v>5.9341784281491643</v>
      </c>
      <c r="AW23" s="124">
        <f ca="1">Income!AW8</f>
        <v>5.9306344675770077</v>
      </c>
      <c r="AX23" s="124">
        <f ca="1">Income!AX8</f>
        <v>5.9276565535892312</v>
      </c>
      <c r="AY23" s="124">
        <f ca="1">Income!AY8</f>
        <v>5.9252514000607039</v>
      </c>
      <c r="AZ23" s="124">
        <f ca="1">Income!AZ8</f>
        <v>5.960769634224178</v>
      </c>
      <c r="BA23" s="124">
        <f ca="1">Income!BA8</f>
        <v>5.9967996628109592</v>
      </c>
      <c r="BB23" s="124">
        <f ca="1">Income!BB8</f>
        <v>6.0333486083863361</v>
      </c>
      <c r="BC23" s="124">
        <f ca="1">Income!BC8</f>
        <v>6.0326626273810033</v>
      </c>
      <c r="BD23" s="124">
        <f ca="1">Income!BD8</f>
        <v>6.0320040691946906</v>
      </c>
      <c r="BE23" s="124">
        <f ca="1">Income!BE8</f>
        <v>6.03137304008877</v>
      </c>
      <c r="BF23" s="198">
        <f ca="1">Income!BF8</f>
        <v>6.030769646886772</v>
      </c>
      <c r="BG23" s="124">
        <f ca="1">Income!BG8</f>
        <v>6.0301939969771672</v>
      </c>
      <c r="BH23" s="124">
        <f ca="1">Income!BH8</f>
        <v>6.0296461983161578</v>
      </c>
      <c r="BI23" s="124">
        <f ca="1">Income!BI8</f>
        <v>6.0291263594304878</v>
      </c>
      <c r="BJ23" s="124">
        <f ca="1">Income!BJ8</f>
        <v>6.0286345894202675</v>
      </c>
      <c r="BK23" s="124">
        <f ca="1">Income!BK8</f>
        <v>6.0281709979618032</v>
      </c>
      <c r="BL23" s="124">
        <f ca="1">Income!BL8</f>
        <v>6.0277356953104526</v>
      </c>
      <c r="BM23" s="124">
        <f ca="1">Income!BM8</f>
        <v>6.0273287923034875</v>
      </c>
      <c r="BN23" s="124">
        <f ca="1">Income!BN8</f>
        <v>6.0269504003629697</v>
      </c>
      <c r="BO23" s="124">
        <f ca="1">Income!BO8</f>
        <v>6.0266006314986527</v>
      </c>
      <c r="BP23" s="124">
        <f ca="1">Income!BP8</f>
        <v>6.0262795983108788</v>
      </c>
      <c r="BQ23" s="124">
        <f ca="1">Income!BQ8</f>
        <v>6.0259874139935112</v>
      </c>
      <c r="BR23" s="198">
        <f ca="1">Income!BR8</f>
        <v>6.0257241923368667</v>
      </c>
    </row>
    <row r="24" spans="1:70" x14ac:dyDescent="0.3">
      <c r="A24" s="89"/>
      <c r="B24" s="259" t="s">
        <v>209</v>
      </c>
      <c r="E24" s="94">
        <f t="shared" ca="1" si="0"/>
        <v>769.64584453716816</v>
      </c>
      <c r="F24" s="94">
        <f t="shared" ca="1" si="1"/>
        <v>965.90937337579726</v>
      </c>
      <c r="G24" s="94">
        <f t="shared" ca="1" si="2"/>
        <v>1004.2766769477466</v>
      </c>
      <c r="H24" s="94">
        <f t="shared" ca="1" si="3"/>
        <v>1040.9268047242249</v>
      </c>
      <c r="I24" s="94">
        <f t="shared" ca="1" si="4"/>
        <v>1082.8407055875657</v>
      </c>
      <c r="J24" s="105"/>
      <c r="K24" s="93">
        <f t="shared" ref="K24:AP24" ca="1" si="59">SUM(K20:K23)</f>
        <v>47.290562516933718</v>
      </c>
      <c r="L24" s="93">
        <f t="shared" ca="1" si="59"/>
        <v>52.069617210793197</v>
      </c>
      <c r="M24" s="93">
        <f t="shared" ca="1" si="59"/>
        <v>56.621152871822687</v>
      </c>
      <c r="N24" s="93">
        <f t="shared" ca="1" si="59"/>
        <v>59.331938705350943</v>
      </c>
      <c r="O24" s="93">
        <f t="shared" ca="1" si="59"/>
        <v>61.893841356795036</v>
      </c>
      <c r="P24" s="93">
        <f t="shared" ca="1" si="59"/>
        <v>64.31129738878154</v>
      </c>
      <c r="Q24" s="93">
        <f t="shared" ca="1" si="59"/>
        <v>66.581382483000823</v>
      </c>
      <c r="R24" s="93">
        <f t="shared" ca="1" si="59"/>
        <v>68.701123984510232</v>
      </c>
      <c r="S24" s="93">
        <f t="shared" ca="1" si="59"/>
        <v>70.667500146955746</v>
      </c>
      <c r="T24" s="93">
        <f t="shared" ca="1" si="59"/>
        <v>72.473045089121968</v>
      </c>
      <c r="U24" s="93">
        <f t="shared" ca="1" si="59"/>
        <v>74.11476447509466</v>
      </c>
      <c r="V24" s="102">
        <f t="shared" ca="1" si="59"/>
        <v>75.589618308007687</v>
      </c>
      <c r="W24" s="93">
        <f t="shared" ca="1" si="59"/>
        <v>76.90119347399559</v>
      </c>
      <c r="X24" s="93">
        <f t="shared" ca="1" si="59"/>
        <v>78.041222257558758</v>
      </c>
      <c r="Y24" s="93">
        <f t="shared" ca="1" si="59"/>
        <v>79.006462970455857</v>
      </c>
      <c r="Z24" s="93">
        <f t="shared" ca="1" si="59"/>
        <v>79.793623041066951</v>
      </c>
      <c r="AA24" s="93">
        <f t="shared" ca="1" si="59"/>
        <v>80.399358258477662</v>
      </c>
      <c r="AB24" s="93">
        <f t="shared" ca="1" si="59"/>
        <v>80.820272005525752</v>
      </c>
      <c r="AC24" s="93">
        <f t="shared" ca="1" si="59"/>
        <v>81.242482119674079</v>
      </c>
      <c r="AD24" s="93">
        <f t="shared" ca="1" si="59"/>
        <v>81.475378722218494</v>
      </c>
      <c r="AE24" s="93">
        <f t="shared" ca="1" si="59"/>
        <v>81.708123652667524</v>
      </c>
      <c r="AF24" s="93">
        <f t="shared" ca="1" si="59"/>
        <v>81.940843940997581</v>
      </c>
      <c r="AG24" s="93">
        <f t="shared" ca="1" si="59"/>
        <v>82.173671199317482</v>
      </c>
      <c r="AH24" s="102">
        <f t="shared" ca="1" si="59"/>
        <v>82.406741733841585</v>
      </c>
      <c r="AI24" s="93">
        <f t="shared" ca="1" si="59"/>
        <v>82.640196659196732</v>
      </c>
      <c r="AJ24" s="93">
        <f t="shared" ca="1" si="59"/>
        <v>82.786134692369217</v>
      </c>
      <c r="AK24" s="93">
        <f t="shared" ca="1" si="59"/>
        <v>82.937186606171977</v>
      </c>
      <c r="AL24" s="93">
        <f t="shared" ca="1" si="59"/>
        <v>83.09356116926044</v>
      </c>
      <c r="AM24" s="93">
        <f t="shared" ca="1" si="59"/>
        <v>83.386189371221903</v>
      </c>
      <c r="AN24" s="93">
        <f t="shared" ca="1" si="59"/>
        <v>83.582415750760589</v>
      </c>
      <c r="AO24" s="93">
        <f t="shared" ca="1" si="59"/>
        <v>83.78280121772687</v>
      </c>
      <c r="AP24" s="93">
        <f t="shared" ca="1" si="59"/>
        <v>83.987385854091727</v>
      </c>
      <c r="AQ24" s="93">
        <f t="shared" ref="AQ24:BR24" ca="1" si="60">SUM(AQ20:AQ23)</f>
        <v>84.196210266589773</v>
      </c>
      <c r="AR24" s="93">
        <f t="shared" ca="1" si="60"/>
        <v>84.409315593947511</v>
      </c>
      <c r="AS24" s="93">
        <f t="shared" ca="1" si="60"/>
        <v>84.626743514214041</v>
      </c>
      <c r="AT24" s="102">
        <f t="shared" ca="1" si="60"/>
        <v>84.848536252195743</v>
      </c>
      <c r="AU24" s="93">
        <f t="shared" ca="1" si="60"/>
        <v>85.074736586996565</v>
      </c>
      <c r="AV24" s="93">
        <f t="shared" ca="1" si="60"/>
        <v>85.305387859665259</v>
      </c>
      <c r="AW24" s="93">
        <f t="shared" ca="1" si="60"/>
        <v>85.540533980951153</v>
      </c>
      <c r="AX24" s="93">
        <f t="shared" ca="1" si="60"/>
        <v>85.78021943916994</v>
      </c>
      <c r="AY24" s="93">
        <f t="shared" ca="1" si="60"/>
        <v>86.024489308181344</v>
      </c>
      <c r="AZ24" s="93">
        <f t="shared" ca="1" si="60"/>
        <v>86.488560765995757</v>
      </c>
      <c r="BA24" s="93">
        <f t="shared" ca="1" si="60"/>
        <v>86.956878228411199</v>
      </c>
      <c r="BB24" s="93">
        <f t="shared" ca="1" si="60"/>
        <v>87.429489220439919</v>
      </c>
      <c r="BC24" s="93">
        <f t="shared" ca="1" si="60"/>
        <v>87.688866208936446</v>
      </c>
      <c r="BD24" s="93">
        <f t="shared" ca="1" si="60"/>
        <v>87.949717852833047</v>
      </c>
      <c r="BE24" s="93">
        <f t="shared" ca="1" si="60"/>
        <v>88.212051347636304</v>
      </c>
      <c r="BF24" s="102">
        <f t="shared" ca="1" si="60"/>
        <v>88.475873925008017</v>
      </c>
      <c r="BG24" s="93">
        <f t="shared" ca="1" si="60"/>
        <v>88.741192852945971</v>
      </c>
      <c r="BH24" s="93">
        <f t="shared" ca="1" si="60"/>
        <v>89.008015435965305</v>
      </c>
      <c r="BI24" s="93">
        <f t="shared" ca="1" si="60"/>
        <v>89.276349015280971</v>
      </c>
      <c r="BJ24" s="93">
        <f t="shared" ca="1" si="60"/>
        <v>89.546200968991073</v>
      </c>
      <c r="BK24" s="93">
        <f t="shared" ca="1" si="60"/>
        <v>89.81757871226111</v>
      </c>
      <c r="BL24" s="93">
        <f t="shared" ca="1" si="60"/>
        <v>90.090489697509057</v>
      </c>
      <c r="BM24" s="93">
        <f t="shared" ca="1" si="60"/>
        <v>90.36494141459157</v>
      </c>
      <c r="BN24" s="93">
        <f t="shared" ca="1" si="60"/>
        <v>90.640941390990875</v>
      </c>
      <c r="BO24" s="93">
        <f t="shared" ca="1" si="60"/>
        <v>90.918497192002874</v>
      </c>
      <c r="BP24" s="93">
        <f t="shared" ca="1" si="60"/>
        <v>91.197616420925868</v>
      </c>
      <c r="BQ24" s="93">
        <f t="shared" ca="1" si="60"/>
        <v>91.478306719250497</v>
      </c>
      <c r="BR24" s="102">
        <f t="shared" ca="1" si="60"/>
        <v>91.760575766850565</v>
      </c>
    </row>
    <row r="25" spans="1:70" s="93" customFormat="1" x14ac:dyDescent="0.3">
      <c r="A25" s="120"/>
      <c r="B25" s="266" t="s">
        <v>155</v>
      </c>
      <c r="E25" s="99">
        <f t="shared" si="0"/>
        <v>18</v>
      </c>
      <c r="F25" s="99">
        <f t="shared" si="1"/>
        <v>175</v>
      </c>
      <c r="G25" s="99">
        <f t="shared" si="2"/>
        <v>0</v>
      </c>
      <c r="H25" s="99">
        <f t="shared" si="3"/>
        <v>5</v>
      </c>
      <c r="I25" s="99">
        <f t="shared" si="4"/>
        <v>15</v>
      </c>
      <c r="K25" s="99">
        <f>CapEx!K41</f>
        <v>0</v>
      </c>
      <c r="L25" s="99">
        <f>CapEx!L41</f>
        <v>0</v>
      </c>
      <c r="M25" s="99">
        <f>CapEx!M41</f>
        <v>0</v>
      </c>
      <c r="N25" s="99">
        <f>CapEx!N41</f>
        <v>0</v>
      </c>
      <c r="O25" s="99">
        <f>CapEx!O41</f>
        <v>0</v>
      </c>
      <c r="P25" s="99">
        <f>CapEx!P41</f>
        <v>0</v>
      </c>
      <c r="Q25" s="99">
        <f>CapEx!Q41</f>
        <v>0</v>
      </c>
      <c r="R25" s="99">
        <f>CapEx!R41</f>
        <v>0</v>
      </c>
      <c r="S25" s="99">
        <f>CapEx!S41</f>
        <v>0</v>
      </c>
      <c r="T25" s="99">
        <f>CapEx!T41</f>
        <v>0</v>
      </c>
      <c r="U25" s="99">
        <f>CapEx!U41</f>
        <v>0</v>
      </c>
      <c r="V25" s="107">
        <f>CapEx!V41</f>
        <v>18</v>
      </c>
      <c r="W25" s="99">
        <f>CapEx!W41</f>
        <v>0</v>
      </c>
      <c r="X25" s="99">
        <f>CapEx!X41</f>
        <v>0</v>
      </c>
      <c r="Y25" s="99">
        <f>CapEx!Y41</f>
        <v>0</v>
      </c>
      <c r="Z25" s="99">
        <f>CapEx!Z41</f>
        <v>0</v>
      </c>
      <c r="AA25" s="99">
        <f>CapEx!AA41</f>
        <v>0</v>
      </c>
      <c r="AB25" s="99">
        <f>CapEx!AB41</f>
        <v>0</v>
      </c>
      <c r="AC25" s="99">
        <f>CapEx!AC41</f>
        <v>0</v>
      </c>
      <c r="AD25" s="99">
        <f>CapEx!AD41</f>
        <v>175</v>
      </c>
      <c r="AE25" s="99">
        <f>CapEx!AE41</f>
        <v>0</v>
      </c>
      <c r="AF25" s="99">
        <f>CapEx!AF41</f>
        <v>0</v>
      </c>
      <c r="AG25" s="99">
        <f>CapEx!AG41</f>
        <v>0</v>
      </c>
      <c r="AH25" s="107">
        <f>CapEx!AH41</f>
        <v>0</v>
      </c>
      <c r="AI25" s="99">
        <f>CapEx!AI41</f>
        <v>0</v>
      </c>
      <c r="AJ25" s="99">
        <f>CapEx!AJ41</f>
        <v>0</v>
      </c>
      <c r="AK25" s="99">
        <f>CapEx!AK41</f>
        <v>0</v>
      </c>
      <c r="AL25" s="99">
        <f>CapEx!AL41</f>
        <v>0</v>
      </c>
      <c r="AM25" s="99">
        <f>CapEx!AM41</f>
        <v>0</v>
      </c>
      <c r="AN25" s="99">
        <f>CapEx!AN41</f>
        <v>0</v>
      </c>
      <c r="AO25" s="99">
        <f>CapEx!AO41</f>
        <v>0</v>
      </c>
      <c r="AP25" s="99">
        <f>CapEx!AP41</f>
        <v>0</v>
      </c>
      <c r="AQ25" s="99">
        <f>CapEx!AQ41</f>
        <v>0</v>
      </c>
      <c r="AR25" s="99">
        <f>CapEx!AR41</f>
        <v>0</v>
      </c>
      <c r="AS25" s="99">
        <f>CapEx!AS41</f>
        <v>0</v>
      </c>
      <c r="AT25" s="107">
        <f>CapEx!AT41</f>
        <v>0</v>
      </c>
      <c r="AU25" s="99">
        <f>CapEx!AU41</f>
        <v>0</v>
      </c>
      <c r="AV25" s="99">
        <f>CapEx!AV41</f>
        <v>0</v>
      </c>
      <c r="AW25" s="99">
        <f>CapEx!AW41</f>
        <v>0</v>
      </c>
      <c r="AX25" s="99">
        <f>CapEx!AX41</f>
        <v>5</v>
      </c>
      <c r="AY25" s="99">
        <f>CapEx!AY41</f>
        <v>0</v>
      </c>
      <c r="AZ25" s="99">
        <f>CapEx!AZ41</f>
        <v>0</v>
      </c>
      <c r="BA25" s="99">
        <f>CapEx!BA41</f>
        <v>0</v>
      </c>
      <c r="BB25" s="99">
        <f>CapEx!BB41</f>
        <v>0</v>
      </c>
      <c r="BC25" s="99">
        <f>CapEx!BC41</f>
        <v>0</v>
      </c>
      <c r="BD25" s="99">
        <f>CapEx!BD41</f>
        <v>0</v>
      </c>
      <c r="BE25" s="99">
        <f>CapEx!BE41</f>
        <v>0</v>
      </c>
      <c r="BF25" s="107">
        <f>CapEx!BF41</f>
        <v>0</v>
      </c>
      <c r="BG25" s="99">
        <f>CapEx!BG41</f>
        <v>0</v>
      </c>
      <c r="BH25" s="99">
        <f>CapEx!BH41</f>
        <v>0</v>
      </c>
      <c r="BI25" s="99">
        <f>CapEx!BI41</f>
        <v>0</v>
      </c>
      <c r="BJ25" s="99">
        <f>CapEx!BJ41</f>
        <v>0</v>
      </c>
      <c r="BK25" s="99">
        <f>CapEx!BK41</f>
        <v>0</v>
      </c>
      <c r="BL25" s="99">
        <f>CapEx!BL41</f>
        <v>0</v>
      </c>
      <c r="BM25" s="99">
        <f>CapEx!BM41</f>
        <v>15</v>
      </c>
      <c r="BN25" s="99">
        <f>CapEx!BN41</f>
        <v>0</v>
      </c>
      <c r="BO25" s="99">
        <f>CapEx!BO41</f>
        <v>0</v>
      </c>
      <c r="BP25" s="99">
        <f>CapEx!BP41</f>
        <v>0</v>
      </c>
      <c r="BQ25" s="99">
        <f>CapEx!BQ41</f>
        <v>0</v>
      </c>
      <c r="BR25" s="107">
        <f>CapEx!BR41</f>
        <v>0</v>
      </c>
    </row>
    <row r="26" spans="1:70" s="133" customFormat="1" x14ac:dyDescent="0.3">
      <c r="A26" s="120"/>
      <c r="B26" s="132" t="s">
        <v>143</v>
      </c>
      <c r="E26" s="102">
        <f t="shared" ca="1" si="0"/>
        <v>-12707.830895506426</v>
      </c>
      <c r="F26" s="102">
        <f t="shared" ca="1" si="1"/>
        <v>1752.9101344533478</v>
      </c>
      <c r="G26" s="102">
        <f t="shared" ca="1" si="2"/>
        <v>3830.8880539352131</v>
      </c>
      <c r="H26" s="102">
        <f t="shared" ca="1" si="3"/>
        <v>3897.4928932321441</v>
      </c>
      <c r="I26" s="102">
        <f t="shared" ca="1" si="4"/>
        <v>4566.7597881349338</v>
      </c>
      <c r="K26" s="93">
        <f t="shared" ref="K26:AP26" ca="1" si="61">SUM(K12,K19,K24,K25)</f>
        <v>-2293.1949830700337</v>
      </c>
      <c r="L26" s="93">
        <f t="shared" ca="1" si="61"/>
        <v>-2153.5366609218004</v>
      </c>
      <c r="M26" s="93">
        <f t="shared" ca="1" si="61"/>
        <v>-2012.9839472078102</v>
      </c>
      <c r="N26" s="93">
        <f t="shared" ca="1" si="61"/>
        <v>-1055.4397456676243</v>
      </c>
      <c r="O26" s="93">
        <f t="shared" ca="1" si="61"/>
        <v>-965.96795522075035</v>
      </c>
      <c r="P26" s="93">
        <f t="shared" ca="1" si="61"/>
        <v>-844.35065045097076</v>
      </c>
      <c r="Q26" s="93">
        <f t="shared" ca="1" si="61"/>
        <v>-792.7035630226103</v>
      </c>
      <c r="R26" s="93">
        <f t="shared" ca="1" si="61"/>
        <v>-704.81786294697167</v>
      </c>
      <c r="S26" s="93">
        <f t="shared" ca="1" si="61"/>
        <v>-591.52137417950098</v>
      </c>
      <c r="T26" s="93">
        <f t="shared" ca="1" si="61"/>
        <v>-527.17468106612409</v>
      </c>
      <c r="U26" s="93">
        <f t="shared" ca="1" si="61"/>
        <v>-437.30909935007912</v>
      </c>
      <c r="V26" s="102">
        <f t="shared" ca="1" si="61"/>
        <v>-328.83037240214747</v>
      </c>
      <c r="W26" s="93">
        <f t="shared" ca="1" si="61"/>
        <v>-258.90803147646045</v>
      </c>
      <c r="X26" s="93">
        <f t="shared" ca="1" si="61"/>
        <v>-167.16690215869164</v>
      </c>
      <c r="Y26" s="93">
        <f t="shared" ca="1" si="61"/>
        <v>-74.756108631119048</v>
      </c>
      <c r="Z26" s="93">
        <f t="shared" ca="1" si="61"/>
        <v>18.248761182451702</v>
      </c>
      <c r="AA26" s="93">
        <f t="shared" ca="1" si="61"/>
        <v>111.93125066609274</v>
      </c>
      <c r="AB26" s="93">
        <f t="shared" ca="1" si="61"/>
        <v>206.29555095029818</v>
      </c>
      <c r="AC26" s="93">
        <f t="shared" ca="1" si="61"/>
        <v>206.91844456201068</v>
      </c>
      <c r="AD26" s="93">
        <f t="shared" ca="1" si="61"/>
        <v>477.42397160215012</v>
      </c>
      <c r="AE26" s="93">
        <f t="shared" ca="1" si="61"/>
        <v>305.2091553800492</v>
      </c>
      <c r="AF26" s="93">
        <f t="shared" ca="1" si="61"/>
        <v>307.21421478390073</v>
      </c>
      <c r="AG26" s="93">
        <f t="shared" ca="1" si="61"/>
        <v>309.23330727626507</v>
      </c>
      <c r="AH26" s="102">
        <f t="shared" ca="1" si="61"/>
        <v>311.26652031640049</v>
      </c>
      <c r="AI26" s="93">
        <f t="shared" ca="1" si="61"/>
        <v>313.31394186835257</v>
      </c>
      <c r="AJ26" s="93">
        <f t="shared" ca="1" si="61"/>
        <v>315.28761308089776</v>
      </c>
      <c r="AK26" s="93">
        <f t="shared" ca="1" si="61"/>
        <v>317.36968295308645</v>
      </c>
      <c r="AL26" s="93">
        <f t="shared" ca="1" si="61"/>
        <v>319.46620861338187</v>
      </c>
      <c r="AM26" s="93">
        <f t="shared" ca="1" si="61"/>
        <v>255.45170845270633</v>
      </c>
      <c r="AN26" s="93">
        <f t="shared" ca="1" si="61"/>
        <v>323.51393331570307</v>
      </c>
      <c r="AO26" s="93">
        <f t="shared" ca="1" si="61"/>
        <v>325.65133497839668</v>
      </c>
      <c r="AP26" s="93">
        <f t="shared" ca="1" si="61"/>
        <v>327.80338816549136</v>
      </c>
      <c r="AQ26" s="93">
        <f t="shared" ref="AQ26:BR26" ca="1" si="62">SUM(AQ12,AQ19,AQ24,AQ25)</f>
        <v>329.97018193415329</v>
      </c>
      <c r="AR26" s="93">
        <f t="shared" ca="1" si="62"/>
        <v>332.15180583997665</v>
      </c>
      <c r="AS26" s="93">
        <f t="shared" ca="1" si="62"/>
        <v>334.34834993961704</v>
      </c>
      <c r="AT26" s="102">
        <f t="shared" ca="1" si="62"/>
        <v>336.55990479344968</v>
      </c>
      <c r="AU26" s="93">
        <f t="shared" ca="1" si="62"/>
        <v>338.78656146823619</v>
      </c>
      <c r="AV26" s="93">
        <f t="shared" ca="1" si="62"/>
        <v>341.02841153980665</v>
      </c>
      <c r="AW26" s="93">
        <f t="shared" ca="1" si="62"/>
        <v>343.28554709575167</v>
      </c>
      <c r="AX26" s="93">
        <f t="shared" ca="1" si="62"/>
        <v>350.5580607381346</v>
      </c>
      <c r="AY26" s="93">
        <f t="shared" ca="1" si="62"/>
        <v>347.86229558620886</v>
      </c>
      <c r="AZ26" s="93">
        <f t="shared" ca="1" si="62"/>
        <v>243.68445281742169</v>
      </c>
      <c r="BA26" s="93">
        <f t="shared" ca="1" si="62"/>
        <v>245.75947038549839</v>
      </c>
      <c r="BB26" s="93">
        <f t="shared" ca="1" si="62"/>
        <v>247.84935086671004</v>
      </c>
      <c r="BC26" s="93">
        <f t="shared" ca="1" si="62"/>
        <v>356.11345791568181</v>
      </c>
      <c r="BD26" s="93">
        <f t="shared" ca="1" si="62"/>
        <v>358.47356234769632</v>
      </c>
      <c r="BE26" s="93">
        <f t="shared" ca="1" si="62"/>
        <v>360.84971362798245</v>
      </c>
      <c r="BF26" s="102">
        <f t="shared" ca="1" si="62"/>
        <v>363.24200884301536</v>
      </c>
      <c r="BG26" s="93">
        <f t="shared" ca="1" si="62"/>
        <v>365.65054562342937</v>
      </c>
      <c r="BH26" s="93">
        <f t="shared" ca="1" si="62"/>
        <v>368.07542214693859</v>
      </c>
      <c r="BI26" s="93">
        <f t="shared" ca="1" si="62"/>
        <v>370.51673714126559</v>
      </c>
      <c r="BJ26" s="93">
        <f t="shared" ca="1" si="62"/>
        <v>372.97458988708985</v>
      </c>
      <c r="BK26" s="93">
        <f t="shared" ca="1" si="62"/>
        <v>375.44908022101356</v>
      </c>
      <c r="BL26" s="93">
        <f t="shared" ca="1" si="62"/>
        <v>377.94030853853383</v>
      </c>
      <c r="BM26" s="93">
        <f t="shared" ca="1" si="62"/>
        <v>395.44837579704176</v>
      </c>
      <c r="BN26" s="93">
        <f t="shared" ca="1" si="62"/>
        <v>383.02213351883125</v>
      </c>
      <c r="BO26" s="93">
        <f t="shared" ca="1" si="62"/>
        <v>385.56434223161887</v>
      </c>
      <c r="BP26" s="93">
        <f t="shared" ca="1" si="62"/>
        <v>388.12369667401254</v>
      </c>
      <c r="BQ26" s="93">
        <f t="shared" ca="1" si="62"/>
        <v>390.70030008289859</v>
      </c>
      <c r="BR26" s="102">
        <f t="shared" ca="1" si="62"/>
        <v>393.29425627226055</v>
      </c>
    </row>
    <row r="27" spans="1:70" s="93" customFormat="1" hidden="1" x14ac:dyDescent="0.3">
      <c r="A27" s="120"/>
      <c r="B27" s="228" t="s">
        <v>107</v>
      </c>
      <c r="E27" s="96">
        <f>SUM(K27:V27)</f>
        <v>154.19452966124882</v>
      </c>
      <c r="F27" s="96">
        <f>SUM(W27:AH27)</f>
        <v>163.70491085223009</v>
      </c>
      <c r="G27" s="96">
        <f>SUM(AI27:AT27)</f>
        <v>173.80187154506837</v>
      </c>
      <c r="H27" s="96">
        <f>SUM(AU27:BF27)</f>
        <v>184.52159067992278</v>
      </c>
      <c r="I27" s="96">
        <f>SUM(BG27:BR27)</f>
        <v>195.90247863481702</v>
      </c>
      <c r="K27" s="94">
        <f>Income!K16</f>
        <v>12.5</v>
      </c>
      <c r="L27" s="95">
        <f>Income!L16</f>
        <v>12.562499999999998</v>
      </c>
      <c r="M27" s="95">
        <f>Income!M16</f>
        <v>12.625312499999996</v>
      </c>
      <c r="N27" s="95">
        <f>Income!N16</f>
        <v>12.688439062499995</v>
      </c>
      <c r="O27" s="95">
        <f>Income!O16</f>
        <v>12.751881257812494</v>
      </c>
      <c r="P27" s="95">
        <f>Income!P16</f>
        <v>12.815640664101554</v>
      </c>
      <c r="Q27" s="95">
        <f>Income!Q16</f>
        <v>12.87971886742206</v>
      </c>
      <c r="R27" s="95">
        <f>Income!R16</f>
        <v>12.944117461759168</v>
      </c>
      <c r="S27" s="95">
        <f>Income!S16</f>
        <v>13.008838049067963</v>
      </c>
      <c r="T27" s="95">
        <f>Income!T16</f>
        <v>13.073882239313301</v>
      </c>
      <c r="U27" s="95">
        <f>Income!U16</f>
        <v>13.139251650509866</v>
      </c>
      <c r="V27" s="96">
        <f>Income!V16</f>
        <v>13.204947908762414</v>
      </c>
      <c r="W27" s="94">
        <f>Income!W16</f>
        <v>13.270972648306223</v>
      </c>
      <c r="X27" s="95">
        <f>Income!X16</f>
        <v>13.337327511547754</v>
      </c>
      <c r="Y27" s="95">
        <f>Income!Y16</f>
        <v>13.404014149105491</v>
      </c>
      <c r="Z27" s="95">
        <f>Income!Z16</f>
        <v>13.471034219851017</v>
      </c>
      <c r="AA27" s="95">
        <f>Income!AA16</f>
        <v>13.53838939095027</v>
      </c>
      <c r="AB27" s="95">
        <f>Income!AB16</f>
        <v>13.606081337905019</v>
      </c>
      <c r="AC27" s="95">
        <f>Income!AC16</f>
        <v>13.674111744594542</v>
      </c>
      <c r="AD27" s="95">
        <f>Income!AD16</f>
        <v>13.742482303317514</v>
      </c>
      <c r="AE27" s="95">
        <f>Income!AE16</f>
        <v>13.8111947148341</v>
      </c>
      <c r="AF27" s="95">
        <f>Income!AF16</f>
        <v>13.880250688408269</v>
      </c>
      <c r="AG27" s="95">
        <f>Income!AG16</f>
        <v>13.949651941850309</v>
      </c>
      <c r="AH27" s="96">
        <f>Income!AH16</f>
        <v>14.019400201559559</v>
      </c>
      <c r="AI27" s="94">
        <f>Income!AI16</f>
        <v>14.089497202567356</v>
      </c>
      <c r="AJ27" s="95">
        <f>Income!AJ16</f>
        <v>14.159944688580191</v>
      </c>
      <c r="AK27" s="95">
        <f>Income!AK16</f>
        <v>14.230744412023091</v>
      </c>
      <c r="AL27" s="95">
        <f>Income!AL16</f>
        <v>14.301898134083205</v>
      </c>
      <c r="AM27" s="95">
        <f>Income!AM16</f>
        <v>14.37340762475362</v>
      </c>
      <c r="AN27" s="95">
        <f>Income!AN16</f>
        <v>14.445274662877386</v>
      </c>
      <c r="AO27" s="95">
        <f>Income!AO16</f>
        <v>14.517501036191772</v>
      </c>
      <c r="AP27" s="95">
        <f>Income!AP16</f>
        <v>14.590088541372729</v>
      </c>
      <c r="AQ27" s="95">
        <f>Income!AQ16</f>
        <v>14.663038984079591</v>
      </c>
      <c r="AR27" s="95">
        <f>Income!AR16</f>
        <v>14.736354178999989</v>
      </c>
      <c r="AS27" s="95">
        <f>Income!AS16</f>
        <v>14.810035949894987</v>
      </c>
      <c r="AT27" s="96">
        <f>Income!AT16</f>
        <v>14.88408612964446</v>
      </c>
      <c r="AU27" s="94">
        <f>Income!AU16</f>
        <v>14.958506560292681</v>
      </c>
      <c r="AV27" s="95">
        <f>Income!AV16</f>
        <v>15.033299093094143</v>
      </c>
      <c r="AW27" s="95">
        <f>Income!AW16</f>
        <v>15.108465588559612</v>
      </c>
      <c r="AX27" s="95">
        <f>Income!AX16</f>
        <v>15.184007916502409</v>
      </c>
      <c r="AY27" s="95">
        <f>Income!AY16</f>
        <v>15.259927956084919</v>
      </c>
      <c r="AZ27" s="95">
        <f>Income!AZ16</f>
        <v>15.336227595865342</v>
      </c>
      <c r="BA27" s="95">
        <f>Income!BA16</f>
        <v>15.412908733844667</v>
      </c>
      <c r="BB27" s="95">
        <f>Income!BB16</f>
        <v>15.489973277513888</v>
      </c>
      <c r="BC27" s="95">
        <f>Income!BC16</f>
        <v>15.567423143901456</v>
      </c>
      <c r="BD27" s="95">
        <f>Income!BD16</f>
        <v>15.645260259620962</v>
      </c>
      <c r="BE27" s="95">
        <f>Income!BE16</f>
        <v>15.723486560919065</v>
      </c>
      <c r="BF27" s="96">
        <f>Income!BF16</f>
        <v>15.802103993723659</v>
      </c>
      <c r="BG27" s="94">
        <f>Income!BG16</f>
        <v>15.881114513692275</v>
      </c>
      <c r="BH27" s="95">
        <f>Income!BH16</f>
        <v>15.960520086260734</v>
      </c>
      <c r="BI27" s="95">
        <f>Income!BI16</f>
        <v>16.040322686692036</v>
      </c>
      <c r="BJ27" s="95">
        <f>Income!BJ16</f>
        <v>16.120524300125496</v>
      </c>
      <c r="BK27" s="95">
        <f>Income!BK16</f>
        <v>16.20112692162612</v>
      </c>
      <c r="BL27" s="95">
        <f>Income!BL16</f>
        <v>16.282132556234249</v>
      </c>
      <c r="BM27" s="95">
        <f>Income!BM16</f>
        <v>16.363543219015419</v>
      </c>
      <c r="BN27" s="95">
        <f>Income!BN16</f>
        <v>16.445360935110493</v>
      </c>
      <c r="BO27" s="95">
        <f>Income!BO16</f>
        <v>16.527587739786043</v>
      </c>
      <c r="BP27" s="95">
        <f>Income!BP16</f>
        <v>16.610225678484973</v>
      </c>
      <c r="BQ27" s="95">
        <f>Income!BQ16</f>
        <v>16.693276806877396</v>
      </c>
      <c r="BR27" s="96">
        <f>Income!BR16</f>
        <v>16.77674319091178</v>
      </c>
    </row>
    <row r="28" spans="1:70" s="93" customFormat="1" hidden="1" x14ac:dyDescent="0.3">
      <c r="A28" s="120"/>
      <c r="B28" s="228" t="s">
        <v>145</v>
      </c>
      <c r="E28" s="96">
        <f>SUM(K28:V28)</f>
        <v>308.38905932249764</v>
      </c>
      <c r="F28" s="96">
        <f>SUM(W28:AH28)</f>
        <v>327.40982170446017</v>
      </c>
      <c r="G28" s="96">
        <f>SUM(AI28:AT28)</f>
        <v>347.60374309013673</v>
      </c>
      <c r="H28" s="96">
        <f>SUM(AU28:BF28)</f>
        <v>369.04318135984562</v>
      </c>
      <c r="I28" s="96">
        <f>SUM(BG28:BR28)</f>
        <v>391.80495726963403</v>
      </c>
      <c r="K28" s="94">
        <f>Income!K17</f>
        <v>25</v>
      </c>
      <c r="L28" s="95">
        <f>Income!L17</f>
        <v>25.124999999999996</v>
      </c>
      <c r="M28" s="95">
        <f>Income!M17</f>
        <v>25.250624999999992</v>
      </c>
      <c r="N28" s="95">
        <f>Income!N17</f>
        <v>25.37687812499999</v>
      </c>
      <c r="O28" s="95">
        <f>Income!O17</f>
        <v>25.503762515624992</v>
      </c>
      <c r="P28" s="95">
        <f>Income!P17</f>
        <v>25.631281328203109</v>
      </c>
      <c r="Q28" s="95">
        <f>Income!Q17</f>
        <v>25.75943773484412</v>
      </c>
      <c r="R28" s="95">
        <f>Income!R17</f>
        <v>25.888234923518336</v>
      </c>
      <c r="S28" s="95">
        <f>Income!S17</f>
        <v>26.017676098135926</v>
      </c>
      <c r="T28" s="95">
        <f>Income!T17</f>
        <v>26.147764478626602</v>
      </c>
      <c r="U28" s="95">
        <f>Income!U17</f>
        <v>26.278503301019732</v>
      </c>
      <c r="V28" s="96">
        <f>Income!V17</f>
        <v>26.409895817524827</v>
      </c>
      <c r="W28" s="94">
        <f>Income!W17</f>
        <v>26.54194529661245</v>
      </c>
      <c r="X28" s="95">
        <f>Income!X17</f>
        <v>26.674655023095507</v>
      </c>
      <c r="Y28" s="95">
        <f>Income!Y17</f>
        <v>26.808028298210981</v>
      </c>
      <c r="Z28" s="95">
        <f>Income!Z17</f>
        <v>26.942068439702034</v>
      </c>
      <c r="AA28" s="95">
        <f>Income!AA17</f>
        <v>27.07677878190054</v>
      </c>
      <c r="AB28" s="95">
        <f>Income!AB17</f>
        <v>27.212162675810038</v>
      </c>
      <c r="AC28" s="95">
        <f>Income!AC17</f>
        <v>27.348223489189085</v>
      </c>
      <c r="AD28" s="95">
        <f>Income!AD17</f>
        <v>27.484964606635028</v>
      </c>
      <c r="AE28" s="95">
        <f>Income!AE17</f>
        <v>27.622389429668203</v>
      </c>
      <c r="AF28" s="95">
        <f>Income!AF17</f>
        <v>27.760501376816539</v>
      </c>
      <c r="AG28" s="95">
        <f>Income!AG17</f>
        <v>27.899303883700618</v>
      </c>
      <c r="AH28" s="96">
        <f>Income!AH17</f>
        <v>28.038800403119119</v>
      </c>
      <c r="AI28" s="94">
        <f>Income!AI17</f>
        <v>28.178994405134713</v>
      </c>
      <c r="AJ28" s="95">
        <f>Income!AJ17</f>
        <v>28.319889377160386</v>
      </c>
      <c r="AK28" s="95">
        <f>Income!AK17</f>
        <v>28.461488824046182</v>
      </c>
      <c r="AL28" s="95">
        <f>Income!AL17</f>
        <v>28.603796268166413</v>
      </c>
      <c r="AM28" s="95">
        <f>Income!AM17</f>
        <v>28.74681524950724</v>
      </c>
      <c r="AN28" s="95">
        <f>Income!AN17</f>
        <v>28.890549325754773</v>
      </c>
      <c r="AO28" s="95">
        <f>Income!AO17</f>
        <v>29.035002072383545</v>
      </c>
      <c r="AP28" s="95">
        <f>Income!AP17</f>
        <v>29.180177082745459</v>
      </c>
      <c r="AQ28" s="95">
        <f>Income!AQ17</f>
        <v>29.326077968159183</v>
      </c>
      <c r="AR28" s="95">
        <f>Income!AR17</f>
        <v>29.472708357999977</v>
      </c>
      <c r="AS28" s="95">
        <f>Income!AS17</f>
        <v>29.620071899789973</v>
      </c>
      <c r="AT28" s="96">
        <f>Income!AT17</f>
        <v>29.768172259288921</v>
      </c>
      <c r="AU28" s="94">
        <f>Income!AU17</f>
        <v>29.917013120585363</v>
      </c>
      <c r="AV28" s="95">
        <f>Income!AV17</f>
        <v>30.066598186188287</v>
      </c>
      <c r="AW28" s="95">
        <f>Income!AW17</f>
        <v>30.216931177119228</v>
      </c>
      <c r="AX28" s="95">
        <f>Income!AX17</f>
        <v>30.368015833004819</v>
      </c>
      <c r="AY28" s="95">
        <f>Income!AY17</f>
        <v>30.519855912169838</v>
      </c>
      <c r="AZ28" s="95">
        <f>Income!AZ17</f>
        <v>30.672455191730684</v>
      </c>
      <c r="BA28" s="95">
        <f>Income!BA17</f>
        <v>30.825817467689337</v>
      </c>
      <c r="BB28" s="95">
        <f>Income!BB17</f>
        <v>30.979946555027777</v>
      </c>
      <c r="BC28" s="95">
        <f>Income!BC17</f>
        <v>31.134846287802912</v>
      </c>
      <c r="BD28" s="95">
        <f>Income!BD17</f>
        <v>31.290520519241923</v>
      </c>
      <c r="BE28" s="95">
        <f>Income!BE17</f>
        <v>31.446973121838134</v>
      </c>
      <c r="BF28" s="96">
        <f>Income!BF17</f>
        <v>31.604207987447317</v>
      </c>
      <c r="BG28" s="94">
        <f>Income!BG17</f>
        <v>31.762229027384553</v>
      </c>
      <c r="BH28" s="95">
        <f>Income!BH17</f>
        <v>31.921040172521472</v>
      </c>
      <c r="BI28" s="95">
        <f>Income!BI17</f>
        <v>32.080645373384073</v>
      </c>
      <c r="BJ28" s="95">
        <f>Income!BJ17</f>
        <v>32.241048600250991</v>
      </c>
      <c r="BK28" s="95">
        <f>Income!BK17</f>
        <v>32.40225384325224</v>
      </c>
      <c r="BL28" s="95">
        <f>Income!BL17</f>
        <v>32.564265112468497</v>
      </c>
      <c r="BM28" s="95">
        <f>Income!BM17</f>
        <v>32.727086438030838</v>
      </c>
      <c r="BN28" s="95">
        <f>Income!BN17</f>
        <v>32.890721870220986</v>
      </c>
      <c r="BO28" s="95">
        <f>Income!BO17</f>
        <v>33.055175479572085</v>
      </c>
      <c r="BP28" s="95">
        <f>Income!BP17</f>
        <v>33.220451356969946</v>
      </c>
      <c r="BQ28" s="95">
        <f>Income!BQ17</f>
        <v>33.386553613754792</v>
      </c>
      <c r="BR28" s="96">
        <f>Income!BR17</f>
        <v>33.553486381823561</v>
      </c>
    </row>
    <row r="29" spans="1:70" s="93" customFormat="1" hidden="1" x14ac:dyDescent="0.3">
      <c r="A29" s="120"/>
      <c r="B29" s="228" t="s">
        <v>109</v>
      </c>
      <c r="E29" s="96">
        <f>SUM(K29:V29)</f>
        <v>123.35562372899903</v>
      </c>
      <c r="F29" s="96">
        <f>SUM(W29:AH29)</f>
        <v>130.96392868178407</v>
      </c>
      <c r="G29" s="96">
        <f>SUM(AI29:AT29)</f>
        <v>139.04149723605471</v>
      </c>
      <c r="H29" s="96">
        <f>SUM(AU29:BF29)</f>
        <v>147.61727254393824</v>
      </c>
      <c r="I29" s="96">
        <f>SUM(BG29:BR29)</f>
        <v>156.72198290785363</v>
      </c>
      <c r="K29" s="94">
        <f>Income!K18</f>
        <v>10</v>
      </c>
      <c r="L29" s="95">
        <f>Income!L18</f>
        <v>10.049999999999999</v>
      </c>
      <c r="M29" s="95">
        <f>Income!M18</f>
        <v>10.100249999999997</v>
      </c>
      <c r="N29" s="95">
        <f>Income!N18</f>
        <v>10.150751249999997</v>
      </c>
      <c r="O29" s="95">
        <f>Income!O18</f>
        <v>10.201505006249995</v>
      </c>
      <c r="P29" s="95">
        <f>Income!P18</f>
        <v>10.252512531281244</v>
      </c>
      <c r="Q29" s="95">
        <f>Income!Q18</f>
        <v>10.303775093937649</v>
      </c>
      <c r="R29" s="95">
        <f>Income!R18</f>
        <v>10.355293969407334</v>
      </c>
      <c r="S29" s="95">
        <f>Income!S18</f>
        <v>10.407070439254371</v>
      </c>
      <c r="T29" s="95">
        <f>Income!T18</f>
        <v>10.459105791450641</v>
      </c>
      <c r="U29" s="95">
        <f>Income!U18</f>
        <v>10.511401320407893</v>
      </c>
      <c r="V29" s="96">
        <f>Income!V18</f>
        <v>10.563958327009932</v>
      </c>
      <c r="W29" s="94">
        <f>Income!W18</f>
        <v>10.61677811864498</v>
      </c>
      <c r="X29" s="95">
        <f>Income!X18</f>
        <v>10.669862009238203</v>
      </c>
      <c r="Y29" s="95">
        <f>Income!Y18</f>
        <v>10.723211319284394</v>
      </c>
      <c r="Z29" s="95">
        <f>Income!Z18</f>
        <v>10.776827375880814</v>
      </c>
      <c r="AA29" s="95">
        <f>Income!AA18</f>
        <v>10.830711512760217</v>
      </c>
      <c r="AB29" s="95">
        <f>Income!AB18</f>
        <v>10.884865070324016</v>
      </c>
      <c r="AC29" s="95">
        <f>Income!AC18</f>
        <v>10.939289395675635</v>
      </c>
      <c r="AD29" s="95">
        <f>Income!AD18</f>
        <v>10.993985842654013</v>
      </c>
      <c r="AE29" s="95">
        <f>Income!AE18</f>
        <v>11.048955771867281</v>
      </c>
      <c r="AF29" s="95">
        <f>Income!AF18</f>
        <v>11.104200550726617</v>
      </c>
      <c r="AG29" s="95">
        <f>Income!AG18</f>
        <v>11.159721553480248</v>
      </c>
      <c r="AH29" s="96">
        <f>Income!AH18</f>
        <v>11.215520161247648</v>
      </c>
      <c r="AI29" s="94">
        <f>Income!AI18</f>
        <v>11.271597762053887</v>
      </c>
      <c r="AJ29" s="95">
        <f>Income!AJ18</f>
        <v>11.327955750864154</v>
      </c>
      <c r="AK29" s="95">
        <f>Income!AK18</f>
        <v>11.384595529618473</v>
      </c>
      <c r="AL29" s="95">
        <f>Income!AL18</f>
        <v>11.441518507266565</v>
      </c>
      <c r="AM29" s="95">
        <f>Income!AM18</f>
        <v>11.498726099802896</v>
      </c>
      <c r="AN29" s="95">
        <f>Income!AN18</f>
        <v>11.55621973030191</v>
      </c>
      <c r="AO29" s="95">
        <f>Income!AO18</f>
        <v>11.614000828953419</v>
      </c>
      <c r="AP29" s="95">
        <f>Income!AP18</f>
        <v>11.672070833098184</v>
      </c>
      <c r="AQ29" s="95">
        <f>Income!AQ18</f>
        <v>11.730431187263674</v>
      </c>
      <c r="AR29" s="95">
        <f>Income!AR18</f>
        <v>11.789083343199991</v>
      </c>
      <c r="AS29" s="95">
        <f>Income!AS18</f>
        <v>11.848028759915991</v>
      </c>
      <c r="AT29" s="96">
        <f>Income!AT18</f>
        <v>11.907268903715568</v>
      </c>
      <c r="AU29" s="94">
        <f>Income!AU18</f>
        <v>11.966805248234145</v>
      </c>
      <c r="AV29" s="95">
        <f>Income!AV18</f>
        <v>12.026639274475315</v>
      </c>
      <c r="AW29" s="95">
        <f>Income!AW18</f>
        <v>12.086772470847691</v>
      </c>
      <c r="AX29" s="95">
        <f>Income!AX18</f>
        <v>12.147206333201929</v>
      </c>
      <c r="AY29" s="95">
        <f>Income!AY18</f>
        <v>12.207942364867936</v>
      </c>
      <c r="AZ29" s="95">
        <f>Income!AZ18</f>
        <v>12.268982076692275</v>
      </c>
      <c r="BA29" s="95">
        <f>Income!BA18</f>
        <v>12.330326987075734</v>
      </c>
      <c r="BB29" s="95">
        <f>Income!BB18</f>
        <v>12.391978622011111</v>
      </c>
      <c r="BC29" s="95">
        <f>Income!BC18</f>
        <v>12.453938515121166</v>
      </c>
      <c r="BD29" s="95">
        <f>Income!BD18</f>
        <v>12.516208207696771</v>
      </c>
      <c r="BE29" s="95">
        <f>Income!BE18</f>
        <v>12.578789248735253</v>
      </c>
      <c r="BF29" s="96">
        <f>Income!BF18</f>
        <v>12.641683194978928</v>
      </c>
      <c r="BG29" s="94">
        <f>Income!BG18</f>
        <v>12.704891610953821</v>
      </c>
      <c r="BH29" s="95">
        <f>Income!BH18</f>
        <v>12.768416069008587</v>
      </c>
      <c r="BI29" s="95">
        <f>Income!BI18</f>
        <v>12.832258149353629</v>
      </c>
      <c r="BJ29" s="95">
        <f>Income!BJ18</f>
        <v>12.896419440100397</v>
      </c>
      <c r="BK29" s="95">
        <f>Income!BK18</f>
        <v>12.960901537300897</v>
      </c>
      <c r="BL29" s="95">
        <f>Income!BL18</f>
        <v>13.0257060449874</v>
      </c>
      <c r="BM29" s="95">
        <f>Income!BM18</f>
        <v>13.090834575212336</v>
      </c>
      <c r="BN29" s="95">
        <f>Income!BN18</f>
        <v>13.156288748088395</v>
      </c>
      <c r="BO29" s="95">
        <f>Income!BO18</f>
        <v>13.222070191828834</v>
      </c>
      <c r="BP29" s="95">
        <f>Income!BP18</f>
        <v>13.288180542787979</v>
      </c>
      <c r="BQ29" s="95">
        <f>Income!BQ18</f>
        <v>13.354621445501918</v>
      </c>
      <c r="BR29" s="96">
        <f>Income!BR18</f>
        <v>13.421394552729424</v>
      </c>
    </row>
    <row r="30" spans="1:70" ht="6" customHeight="1" x14ac:dyDescent="0.3"/>
    <row r="31" spans="1:70" s="93" customFormat="1" x14ac:dyDescent="0.3">
      <c r="A31" s="120"/>
      <c r="B31" s="97" t="s">
        <v>111</v>
      </c>
      <c r="E31" s="96">
        <f>SUM(K31:V31)</f>
        <v>585.93921271274542</v>
      </c>
      <c r="F31" s="96">
        <f>SUM(W31:AH31)</f>
        <v>622.0786612384743</v>
      </c>
      <c r="G31" s="96">
        <f>SUM(AI31:AT31)</f>
        <v>660.44711187125972</v>
      </c>
      <c r="H31" s="96">
        <f>SUM(AU31:BF31)</f>
        <v>701.18204458370667</v>
      </c>
      <c r="I31" s="96">
        <f>SUM(BG31:BR31)</f>
        <v>744.42941881230468</v>
      </c>
      <c r="K31" s="94">
        <f t="shared" ref="K31:AP31" si="63">SUM(K27:K29)</f>
        <v>47.5</v>
      </c>
      <c r="L31" s="94">
        <f t="shared" si="63"/>
        <v>47.73749999999999</v>
      </c>
      <c r="M31" s="94">
        <f t="shared" si="63"/>
        <v>47.976187499999988</v>
      </c>
      <c r="N31" s="94">
        <f t="shared" si="63"/>
        <v>48.216068437499985</v>
      </c>
      <c r="O31" s="94">
        <f t="shared" si="63"/>
        <v>48.457148779687479</v>
      </c>
      <c r="P31" s="94">
        <f t="shared" si="63"/>
        <v>48.699434523585907</v>
      </c>
      <c r="Q31" s="94">
        <f t="shared" si="63"/>
        <v>48.942931696203829</v>
      </c>
      <c r="R31" s="94">
        <f t="shared" si="63"/>
        <v>49.187646354684837</v>
      </c>
      <c r="S31" s="94">
        <f t="shared" si="63"/>
        <v>49.433584586458259</v>
      </c>
      <c r="T31" s="94">
        <f t="shared" si="63"/>
        <v>49.680752509390544</v>
      </c>
      <c r="U31" s="94">
        <f t="shared" si="63"/>
        <v>49.929156271937494</v>
      </c>
      <c r="V31" s="209">
        <f t="shared" si="63"/>
        <v>50.178802053297176</v>
      </c>
      <c r="W31" s="94">
        <f t="shared" si="63"/>
        <v>50.429696063563654</v>
      </c>
      <c r="X31" s="94">
        <f t="shared" si="63"/>
        <v>50.681844543881461</v>
      </c>
      <c r="Y31" s="94">
        <f t="shared" si="63"/>
        <v>50.935253766600866</v>
      </c>
      <c r="Z31" s="94">
        <f t="shared" si="63"/>
        <v>51.189930035433861</v>
      </c>
      <c r="AA31" s="94">
        <f t="shared" si="63"/>
        <v>51.445879685611025</v>
      </c>
      <c r="AB31" s="94">
        <f t="shared" si="63"/>
        <v>51.703109084039077</v>
      </c>
      <c r="AC31" s="94">
        <f t="shared" si="63"/>
        <v>51.961624629459266</v>
      </c>
      <c r="AD31" s="94">
        <f t="shared" si="63"/>
        <v>52.221432752606553</v>
      </c>
      <c r="AE31" s="94">
        <f t="shared" si="63"/>
        <v>52.482539916369589</v>
      </c>
      <c r="AF31" s="94">
        <f t="shared" si="63"/>
        <v>52.744952615951426</v>
      </c>
      <c r="AG31" s="94">
        <f t="shared" si="63"/>
        <v>53.008677379031177</v>
      </c>
      <c r="AH31" s="209">
        <f t="shared" si="63"/>
        <v>53.273720765926321</v>
      </c>
      <c r="AI31" s="94">
        <f t="shared" si="63"/>
        <v>53.540089369755954</v>
      </c>
      <c r="AJ31" s="94">
        <f t="shared" si="63"/>
        <v>53.807789816604732</v>
      </c>
      <c r="AK31" s="94">
        <f t="shared" si="63"/>
        <v>54.076828765687743</v>
      </c>
      <c r="AL31" s="94">
        <f t="shared" si="63"/>
        <v>54.34721290951618</v>
      </c>
      <c r="AM31" s="94">
        <f t="shared" si="63"/>
        <v>54.618948974063755</v>
      </c>
      <c r="AN31" s="94">
        <f t="shared" si="63"/>
        <v>54.892043718934069</v>
      </c>
      <c r="AO31" s="94">
        <f t="shared" si="63"/>
        <v>55.166503937528731</v>
      </c>
      <c r="AP31" s="94">
        <f t="shared" si="63"/>
        <v>55.442336457216371</v>
      </c>
      <c r="AQ31" s="94">
        <f t="shared" ref="AQ31:BR31" si="64">SUM(AQ27:AQ29)</f>
        <v>55.71954813950245</v>
      </c>
      <c r="AR31" s="94">
        <f t="shared" si="64"/>
        <v>55.998145880199957</v>
      </c>
      <c r="AS31" s="94">
        <f t="shared" si="64"/>
        <v>56.278136609600949</v>
      </c>
      <c r="AT31" s="209">
        <f t="shared" si="64"/>
        <v>56.559527292648951</v>
      </c>
      <c r="AU31" s="94">
        <f t="shared" si="64"/>
        <v>56.842324929112188</v>
      </c>
      <c r="AV31" s="94">
        <f t="shared" si="64"/>
        <v>57.126536553757745</v>
      </c>
      <c r="AW31" s="94">
        <f t="shared" si="64"/>
        <v>57.41216923652653</v>
      </c>
      <c r="AX31" s="94">
        <f t="shared" si="64"/>
        <v>57.699230082709157</v>
      </c>
      <c r="AY31" s="94">
        <f t="shared" si="64"/>
        <v>57.987726233122686</v>
      </c>
      <c r="AZ31" s="94">
        <f t="shared" si="64"/>
        <v>58.277664864288305</v>
      </c>
      <c r="BA31" s="94">
        <f t="shared" si="64"/>
        <v>58.569053188609743</v>
      </c>
      <c r="BB31" s="94">
        <f t="shared" si="64"/>
        <v>58.861898454552772</v>
      </c>
      <c r="BC31" s="94">
        <f t="shared" si="64"/>
        <v>59.156207946825532</v>
      </c>
      <c r="BD31" s="94">
        <f t="shared" si="64"/>
        <v>59.451988986559655</v>
      </c>
      <c r="BE31" s="94">
        <f t="shared" si="64"/>
        <v>59.749248931492453</v>
      </c>
      <c r="BF31" s="209">
        <f t="shared" si="64"/>
        <v>60.047995176149897</v>
      </c>
      <c r="BG31" s="94">
        <f t="shared" si="64"/>
        <v>60.348235152030654</v>
      </c>
      <c r="BH31" s="94">
        <f t="shared" si="64"/>
        <v>60.649976327790796</v>
      </c>
      <c r="BI31" s="94">
        <f t="shared" si="64"/>
        <v>60.953226209429737</v>
      </c>
      <c r="BJ31" s="94">
        <f t="shared" si="64"/>
        <v>61.257992340476882</v>
      </c>
      <c r="BK31" s="94">
        <f t="shared" si="64"/>
        <v>61.564282302179258</v>
      </c>
      <c r="BL31" s="94">
        <f t="shared" si="64"/>
        <v>61.872103713690151</v>
      </c>
      <c r="BM31" s="94">
        <f t="shared" si="64"/>
        <v>62.181464232258591</v>
      </c>
      <c r="BN31" s="94">
        <f t="shared" si="64"/>
        <v>62.492371553419872</v>
      </c>
      <c r="BO31" s="94">
        <f t="shared" si="64"/>
        <v>62.804833411186962</v>
      </c>
      <c r="BP31" s="94">
        <f t="shared" si="64"/>
        <v>63.118857578242896</v>
      </c>
      <c r="BQ31" s="94">
        <f t="shared" si="64"/>
        <v>63.434451866134111</v>
      </c>
      <c r="BR31" s="209">
        <f t="shared" si="64"/>
        <v>63.751624125464765</v>
      </c>
    </row>
    <row r="32" spans="1:70" s="93" customFormat="1" x14ac:dyDescent="0.3">
      <c r="A32" s="120"/>
      <c r="B32" s="97" t="s">
        <v>144</v>
      </c>
      <c r="E32" s="96">
        <f t="shared" ref="E32:E39" si="65">SUM(K32:V32)</f>
        <v>1681.991198623233</v>
      </c>
      <c r="F32" s="96">
        <f t="shared" ref="F32:F39" si="66">SUM(W32:AH32)</f>
        <v>2174.7699656537948</v>
      </c>
      <c r="G32" s="96">
        <f t="shared" ref="G32:G39" si="67">SUM(AI32:AT32)</f>
        <v>2302.0505589297782</v>
      </c>
      <c r="H32" s="96">
        <f t="shared" ref="H32:H39" si="68">SUM(AU32:BF32)</f>
        <v>2338.1425965263206</v>
      </c>
      <c r="I32" s="96">
        <f t="shared" ref="I32:I39" si="69">SUM(BG32:BR32)</f>
        <v>2374.8025293640562</v>
      </c>
      <c r="K32" s="94">
        <f>Income!K21+Income!K22</f>
        <v>120.42666666666666</v>
      </c>
      <c r="L32" s="94">
        <f>Income!L21+Income!L22</f>
        <v>129.78588055555554</v>
      </c>
      <c r="M32" s="94">
        <f>Income!M21+Income!M22</f>
        <v>137.9301391528742</v>
      </c>
      <c r="N32" s="94">
        <f>Income!N21+Income!N22</f>
        <v>138.11125711543414</v>
      </c>
      <c r="O32" s="94">
        <f>Income!O21+Income!O22</f>
        <v>138.29261386839286</v>
      </c>
      <c r="P32" s="94">
        <f>Income!P21+Income!P22</f>
        <v>138.47420972788115</v>
      </c>
      <c r="Q32" s="94">
        <f>Income!Q21+Income!Q22</f>
        <v>146.01604501044997</v>
      </c>
      <c r="R32" s="94">
        <f>Income!R21+Income!R22</f>
        <v>146.2073200330712</v>
      </c>
      <c r="S32" s="94">
        <f>Income!S21+Income!S22</f>
        <v>146.39884661313806</v>
      </c>
      <c r="T32" s="94">
        <f>Income!T21+Income!T22</f>
        <v>146.59062508284083</v>
      </c>
      <c r="U32" s="94">
        <f>Income!U21+Income!U22</f>
        <v>146.78265577481019</v>
      </c>
      <c r="V32" s="209">
        <f>Income!V21+Income!V22</f>
        <v>146.97493902211798</v>
      </c>
      <c r="W32" s="94">
        <f>Income!W21+Income!W22</f>
        <v>154.52747515827764</v>
      </c>
      <c r="X32" s="94">
        <f>Income!X21+Income!X22</f>
        <v>154.72946451724493</v>
      </c>
      <c r="Y32" s="94">
        <f>Income!Y21+Income!Y22</f>
        <v>179.46505226675174</v>
      </c>
      <c r="Z32" s="94">
        <f>Income!Z21+Income!Z22</f>
        <v>179.69823875601512</v>
      </c>
      <c r="AA32" s="94">
        <f>Income!AA21+Income!AA22</f>
        <v>179.93172933471405</v>
      </c>
      <c r="AB32" s="94">
        <f>Income!AB21+Income!AB22</f>
        <v>188.75219106757353</v>
      </c>
      <c r="AC32" s="94">
        <f>Income!AC21+Income!AC22</f>
        <v>188.99702435317499</v>
      </c>
      <c r="AD32" s="94">
        <f>Income!AD21+Income!AD22</f>
        <v>189.24217634062362</v>
      </c>
      <c r="AE32" s="94">
        <f>Income!AE21+Income!AE22</f>
        <v>189.48764744632001</v>
      </c>
      <c r="AF32" s="94">
        <f>Income!AF21+Income!AF22</f>
        <v>189.73343808721091</v>
      </c>
      <c r="AG32" s="94">
        <f>Income!AG21+Income!AG22</f>
        <v>189.97954868078989</v>
      </c>
      <c r="AH32" s="209">
        <f>Income!AH21+Income!AH22</f>
        <v>190.22597964509814</v>
      </c>
      <c r="AI32" s="94">
        <f>Income!AI21+Income!AI22</f>
        <v>190.47273139872522</v>
      </c>
      <c r="AJ32" s="94">
        <f>Income!AJ21+Income!AJ22</f>
        <v>190.71980436080969</v>
      </c>
      <c r="AK32" s="94">
        <f>Income!AK21+Income!AK22</f>
        <v>190.96719895103982</v>
      </c>
      <c r="AL32" s="94">
        <f>Income!AL21+Income!AL22</f>
        <v>191.21491558965451</v>
      </c>
      <c r="AM32" s="94">
        <f>Income!AM21+Income!AM22</f>
        <v>191.46295469744376</v>
      </c>
      <c r="AN32" s="94">
        <f>Income!AN21+Income!AN22</f>
        <v>191.7113166957495</v>
      </c>
      <c r="AO32" s="94">
        <f>Income!AO21+Income!AO22</f>
        <v>191.96000200646642</v>
      </c>
      <c r="AP32" s="94">
        <f>Income!AP21+Income!AP22</f>
        <v>192.20901105204251</v>
      </c>
      <c r="AQ32" s="94">
        <f>Income!AQ21+Income!AQ22</f>
        <v>192.45834425547994</v>
      </c>
      <c r="AR32" s="94">
        <f>Income!AR21+Income!AR22</f>
        <v>192.70800204033574</v>
      </c>
      <c r="AS32" s="94">
        <f>Income!AS21+Income!AS22</f>
        <v>192.95798483072244</v>
      </c>
      <c r="AT32" s="209">
        <f>Income!AT21+Income!AT22</f>
        <v>193.208293051309</v>
      </c>
      <c r="AU32" s="94">
        <f>Income!AU21+Income!AU22</f>
        <v>193.45892712732132</v>
      </c>
      <c r="AV32" s="94">
        <f>Income!AV21+Income!AV22</f>
        <v>193.70988748454317</v>
      </c>
      <c r="AW32" s="94">
        <f>Income!AW21+Income!AW22</f>
        <v>193.96117454931678</v>
      </c>
      <c r="AX32" s="94">
        <f>Income!AX21+Income!AX22</f>
        <v>194.21278874854366</v>
      </c>
      <c r="AY32" s="94">
        <f>Income!AY21+Income!AY22</f>
        <v>194.4647305096853</v>
      </c>
      <c r="AZ32" s="94">
        <f>Income!AZ21+Income!AZ22</f>
        <v>194.71700026076388</v>
      </c>
      <c r="BA32" s="94">
        <f>Income!BA21+Income!BA22</f>
        <v>194.96959843036311</v>
      </c>
      <c r="BB32" s="94">
        <f>Income!BB21+Income!BB22</f>
        <v>195.22252544762887</v>
      </c>
      <c r="BC32" s="94">
        <f>Income!BC21+Income!BC22</f>
        <v>195.47578174226999</v>
      </c>
      <c r="BD32" s="94">
        <f>Income!BD21+Income!BD22</f>
        <v>195.72936774455894</v>
      </c>
      <c r="BE32" s="94">
        <f>Income!BE21+Income!BE22</f>
        <v>195.98328388533267</v>
      </c>
      <c r="BF32" s="209">
        <f>Income!BF21+Income!BF22</f>
        <v>196.23753059599329</v>
      </c>
      <c r="BG32" s="94">
        <f>Income!BG21+Income!BG22</f>
        <v>196.49210830850885</v>
      </c>
      <c r="BH32" s="94">
        <f>Income!BH21+Income!BH22</f>
        <v>196.74701745541401</v>
      </c>
      <c r="BI32" s="94">
        <f>Income!BI21+Income!BI22</f>
        <v>197.0022584698109</v>
      </c>
      <c r="BJ32" s="94">
        <f>Income!BJ21+Income!BJ22</f>
        <v>197.25783178536969</v>
      </c>
      <c r="BK32" s="94">
        <f>Income!BK21+Income!BK22</f>
        <v>197.51373783632957</v>
      </c>
      <c r="BL32" s="94">
        <f>Income!BL21+Income!BL22</f>
        <v>197.76997705749935</v>
      </c>
      <c r="BM32" s="94">
        <f>Income!BM21+Income!BM22</f>
        <v>198.0265498842582</v>
      </c>
      <c r="BN32" s="94">
        <f>Income!BN21+Income!BN22</f>
        <v>198.28345675255656</v>
      </c>
      <c r="BO32" s="94">
        <f>Income!BO21+Income!BO22</f>
        <v>198.54069809891658</v>
      </c>
      <c r="BP32" s="94">
        <f>Income!BP21+Income!BP22</f>
        <v>198.79827436043328</v>
      </c>
      <c r="BQ32" s="94">
        <f>Income!BQ21+Income!BQ22</f>
        <v>199.05618597477496</v>
      </c>
      <c r="BR32" s="209">
        <f>Income!BR21+Income!BR22</f>
        <v>199.31443338018408</v>
      </c>
    </row>
    <row r="33" spans="1:70" s="93" customFormat="1" x14ac:dyDescent="0.3">
      <c r="A33" s="120"/>
      <c r="B33" s="97" t="s">
        <v>3</v>
      </c>
      <c r="E33" s="96">
        <f>SUM(K33:V33)</f>
        <v>440</v>
      </c>
      <c r="F33" s="96">
        <f>SUM(W33:AH33)</f>
        <v>10</v>
      </c>
      <c r="G33" s="96">
        <f>SUM(AI33:AT33)</f>
        <v>0</v>
      </c>
      <c r="H33" s="96">
        <f>SUM(AU33:BF33)</f>
        <v>0</v>
      </c>
      <c r="I33" s="96">
        <f>SUM(BG33:BR33)</f>
        <v>0</v>
      </c>
      <c r="K33" s="94">
        <f>CapEx!K11</f>
        <v>40</v>
      </c>
      <c r="L33" s="94">
        <f>CapEx!L11</f>
        <v>0</v>
      </c>
      <c r="M33" s="94">
        <f>CapEx!M11</f>
        <v>0</v>
      </c>
      <c r="N33" s="94">
        <f>CapEx!N11</f>
        <v>250</v>
      </c>
      <c r="O33" s="94">
        <f>CapEx!O11</f>
        <v>0</v>
      </c>
      <c r="P33" s="94">
        <f>CapEx!P11</f>
        <v>100</v>
      </c>
      <c r="Q33" s="94">
        <f>CapEx!Q11</f>
        <v>0</v>
      </c>
      <c r="R33" s="94">
        <f>CapEx!R11</f>
        <v>50</v>
      </c>
      <c r="S33" s="94">
        <f>CapEx!S11</f>
        <v>0</v>
      </c>
      <c r="T33" s="94">
        <f>CapEx!T11</f>
        <v>0</v>
      </c>
      <c r="U33" s="94">
        <f>CapEx!U11</f>
        <v>0</v>
      </c>
      <c r="V33" s="209">
        <f>CapEx!V11</f>
        <v>0</v>
      </c>
      <c r="W33" s="94">
        <f>CapEx!W11</f>
        <v>0</v>
      </c>
      <c r="X33" s="94">
        <f>CapEx!X11</f>
        <v>0</v>
      </c>
      <c r="Y33" s="94">
        <f>CapEx!Y11</f>
        <v>0</v>
      </c>
      <c r="Z33" s="94">
        <f>CapEx!Z11</f>
        <v>0</v>
      </c>
      <c r="AA33" s="94">
        <f>CapEx!AA11</f>
        <v>0</v>
      </c>
      <c r="AB33" s="94">
        <f>CapEx!AB11</f>
        <v>10</v>
      </c>
      <c r="AC33" s="94">
        <f>CapEx!AC11</f>
        <v>0</v>
      </c>
      <c r="AD33" s="94">
        <f>CapEx!AD11</f>
        <v>0</v>
      </c>
      <c r="AE33" s="94">
        <f>CapEx!AE11</f>
        <v>0</v>
      </c>
      <c r="AF33" s="94">
        <f>CapEx!AF11</f>
        <v>0</v>
      </c>
      <c r="AG33" s="94">
        <f>CapEx!AG11</f>
        <v>0</v>
      </c>
      <c r="AH33" s="209">
        <f>CapEx!AH11</f>
        <v>0</v>
      </c>
      <c r="AI33" s="94">
        <f>CapEx!AI11</f>
        <v>0</v>
      </c>
      <c r="AJ33" s="94">
        <f>CapEx!AJ11</f>
        <v>0</v>
      </c>
      <c r="AK33" s="94">
        <f>CapEx!AK11</f>
        <v>0</v>
      </c>
      <c r="AL33" s="94">
        <f>CapEx!AL11</f>
        <v>0</v>
      </c>
      <c r="AM33" s="94">
        <f>CapEx!AM11</f>
        <v>0</v>
      </c>
      <c r="AN33" s="94">
        <f>CapEx!AN11</f>
        <v>0</v>
      </c>
      <c r="AO33" s="94">
        <f>CapEx!AO11</f>
        <v>0</v>
      </c>
      <c r="AP33" s="94">
        <f>CapEx!AP11</f>
        <v>0</v>
      </c>
      <c r="AQ33" s="94">
        <f>CapEx!AQ11</f>
        <v>0</v>
      </c>
      <c r="AR33" s="94">
        <f>CapEx!AR11</f>
        <v>0</v>
      </c>
      <c r="AS33" s="94">
        <f>CapEx!AS11</f>
        <v>0</v>
      </c>
      <c r="AT33" s="209">
        <f>CapEx!AT11</f>
        <v>0</v>
      </c>
      <c r="AU33" s="94">
        <f>CapEx!AU11</f>
        <v>0</v>
      </c>
      <c r="AV33" s="94">
        <f>CapEx!AV11</f>
        <v>0</v>
      </c>
      <c r="AW33" s="94">
        <f>CapEx!AW11</f>
        <v>0</v>
      </c>
      <c r="AX33" s="94">
        <f>CapEx!AX11</f>
        <v>0</v>
      </c>
      <c r="AY33" s="94">
        <f>CapEx!AY11</f>
        <v>0</v>
      </c>
      <c r="AZ33" s="94">
        <f>CapEx!AZ11</f>
        <v>0</v>
      </c>
      <c r="BA33" s="94">
        <f>CapEx!BA11</f>
        <v>0</v>
      </c>
      <c r="BB33" s="94">
        <f>CapEx!BB11</f>
        <v>0</v>
      </c>
      <c r="BC33" s="94">
        <f>CapEx!BC11</f>
        <v>0</v>
      </c>
      <c r="BD33" s="94">
        <f>CapEx!BD11</f>
        <v>0</v>
      </c>
      <c r="BE33" s="94">
        <f>CapEx!BE11</f>
        <v>0</v>
      </c>
      <c r="BF33" s="209">
        <f>CapEx!BF11</f>
        <v>0</v>
      </c>
      <c r="BG33" s="94">
        <f>CapEx!BG11</f>
        <v>0</v>
      </c>
      <c r="BH33" s="94">
        <f>CapEx!BH11</f>
        <v>0</v>
      </c>
      <c r="BI33" s="94">
        <f>CapEx!BI11</f>
        <v>0</v>
      </c>
      <c r="BJ33" s="94">
        <f>CapEx!BJ11</f>
        <v>0</v>
      </c>
      <c r="BK33" s="94">
        <f>CapEx!BK11</f>
        <v>0</v>
      </c>
      <c r="BL33" s="94">
        <f>CapEx!BL11</f>
        <v>0</v>
      </c>
      <c r="BM33" s="94">
        <f>CapEx!BM11</f>
        <v>0</v>
      </c>
      <c r="BN33" s="94">
        <f>CapEx!BN11</f>
        <v>0</v>
      </c>
      <c r="BO33" s="94">
        <f>CapEx!BO11</f>
        <v>0</v>
      </c>
      <c r="BP33" s="94">
        <f>CapEx!BP11</f>
        <v>0</v>
      </c>
      <c r="BQ33" s="94">
        <f>CapEx!BQ11</f>
        <v>0</v>
      </c>
      <c r="BR33" s="209">
        <f>CapEx!BR11</f>
        <v>0</v>
      </c>
    </row>
    <row r="34" spans="1:70" s="93" customFormat="1" hidden="1" x14ac:dyDescent="0.3">
      <c r="A34" s="120"/>
      <c r="B34" s="229" t="s">
        <v>114</v>
      </c>
      <c r="E34" s="96">
        <f>SUM(K34:V34)</f>
        <v>1.9750000000000003</v>
      </c>
      <c r="F34" s="96">
        <f>SUM(W34:AH34)</f>
        <v>3.5999999999999992</v>
      </c>
      <c r="G34" s="96">
        <f>SUM(AI34:AT34)</f>
        <v>3.5999999999999992</v>
      </c>
      <c r="H34" s="96">
        <f>SUM(AU34:BF34)</f>
        <v>3.5999999999999992</v>
      </c>
      <c r="I34" s="96">
        <f>SUM(BG34:BR34)</f>
        <v>3.5999999999999992</v>
      </c>
      <c r="K34" s="94">
        <f>Income!K27</f>
        <v>0.05</v>
      </c>
      <c r="L34" s="94">
        <f>Income!L27</f>
        <v>0.05</v>
      </c>
      <c r="M34" s="94">
        <f>Income!M27</f>
        <v>0.05</v>
      </c>
      <c r="N34" s="94">
        <f>Income!N27</f>
        <v>0.05</v>
      </c>
      <c r="O34" s="94">
        <f>Income!O27</f>
        <v>0.05</v>
      </c>
      <c r="P34" s="94">
        <f>Income!P27</f>
        <v>0.17500000000000002</v>
      </c>
      <c r="Q34" s="94">
        <f>Income!Q27</f>
        <v>0.17500000000000002</v>
      </c>
      <c r="R34" s="94">
        <f>Income!R27</f>
        <v>0.17500000000000002</v>
      </c>
      <c r="S34" s="94">
        <f>Income!S27</f>
        <v>0.3</v>
      </c>
      <c r="T34" s="94">
        <f>Income!T27</f>
        <v>0.3</v>
      </c>
      <c r="U34" s="94">
        <f>Income!U27</f>
        <v>0.3</v>
      </c>
      <c r="V34" s="209">
        <f>Income!V27</f>
        <v>0.3</v>
      </c>
      <c r="W34" s="94">
        <f>Income!W27</f>
        <v>0.3</v>
      </c>
      <c r="X34" s="94">
        <f>Income!X27</f>
        <v>0.3</v>
      </c>
      <c r="Y34" s="94">
        <f>Income!Y27</f>
        <v>0.3</v>
      </c>
      <c r="Z34" s="94">
        <f>Income!Z27</f>
        <v>0.3</v>
      </c>
      <c r="AA34" s="94">
        <f>Income!AA27</f>
        <v>0.3</v>
      </c>
      <c r="AB34" s="94">
        <f>Income!AB27</f>
        <v>0.3</v>
      </c>
      <c r="AC34" s="94">
        <f>Income!AC27</f>
        <v>0.3</v>
      </c>
      <c r="AD34" s="94">
        <f>Income!AD27</f>
        <v>0.3</v>
      </c>
      <c r="AE34" s="94">
        <f>Income!AE27</f>
        <v>0.3</v>
      </c>
      <c r="AF34" s="94">
        <f>Income!AF27</f>
        <v>0.3</v>
      </c>
      <c r="AG34" s="94">
        <f>Income!AG27</f>
        <v>0.3</v>
      </c>
      <c r="AH34" s="209">
        <f>Income!AH27</f>
        <v>0.3</v>
      </c>
      <c r="AI34" s="94">
        <f>Income!AI27</f>
        <v>0.3</v>
      </c>
      <c r="AJ34" s="94">
        <f>Income!AJ27</f>
        <v>0.3</v>
      </c>
      <c r="AK34" s="94">
        <f>Income!AK27</f>
        <v>0.3</v>
      </c>
      <c r="AL34" s="94">
        <f>Income!AL27</f>
        <v>0.3</v>
      </c>
      <c r="AM34" s="94">
        <f>Income!AM27</f>
        <v>0.3</v>
      </c>
      <c r="AN34" s="94">
        <f>Income!AN27</f>
        <v>0.3</v>
      </c>
      <c r="AO34" s="94">
        <f>Income!AO27</f>
        <v>0.3</v>
      </c>
      <c r="AP34" s="94">
        <f>Income!AP27</f>
        <v>0.3</v>
      </c>
      <c r="AQ34" s="94">
        <f>Income!AQ27</f>
        <v>0.3</v>
      </c>
      <c r="AR34" s="94">
        <f>Income!AR27</f>
        <v>0.3</v>
      </c>
      <c r="AS34" s="94">
        <f>Income!AS27</f>
        <v>0.3</v>
      </c>
      <c r="AT34" s="209">
        <f>Income!AT27</f>
        <v>0.3</v>
      </c>
      <c r="AU34" s="94">
        <f>Income!AU27</f>
        <v>0.3</v>
      </c>
      <c r="AV34" s="94">
        <f>Income!AV27</f>
        <v>0.3</v>
      </c>
      <c r="AW34" s="94">
        <f>Income!AW27</f>
        <v>0.3</v>
      </c>
      <c r="AX34" s="94">
        <f>Income!AX27</f>
        <v>0.3</v>
      </c>
      <c r="AY34" s="94">
        <f>Income!AY27</f>
        <v>0.3</v>
      </c>
      <c r="AZ34" s="94">
        <f>Income!AZ27</f>
        <v>0.3</v>
      </c>
      <c r="BA34" s="94">
        <f>Income!BA27</f>
        <v>0.3</v>
      </c>
      <c r="BB34" s="94">
        <f>Income!BB27</f>
        <v>0.3</v>
      </c>
      <c r="BC34" s="94">
        <f>Income!BC27</f>
        <v>0.3</v>
      </c>
      <c r="BD34" s="94">
        <f>Income!BD27</f>
        <v>0.3</v>
      </c>
      <c r="BE34" s="94">
        <f>Income!BE27</f>
        <v>0.3</v>
      </c>
      <c r="BF34" s="209">
        <f>Income!BF27</f>
        <v>0.3</v>
      </c>
      <c r="BG34" s="94">
        <f>Income!BG27</f>
        <v>0.3</v>
      </c>
      <c r="BH34" s="94">
        <f>Income!BH27</f>
        <v>0.3</v>
      </c>
      <c r="BI34" s="94">
        <f>Income!BI27</f>
        <v>0.3</v>
      </c>
      <c r="BJ34" s="94">
        <f>Income!BJ27</f>
        <v>0.3</v>
      </c>
      <c r="BK34" s="94">
        <f>Income!BK27</f>
        <v>0.3</v>
      </c>
      <c r="BL34" s="94">
        <f>Income!BL27</f>
        <v>0.3</v>
      </c>
      <c r="BM34" s="94">
        <f>Income!BM27</f>
        <v>0.3</v>
      </c>
      <c r="BN34" s="94">
        <f>Income!BN27</f>
        <v>0.3</v>
      </c>
      <c r="BO34" s="94">
        <f>Income!BO27</f>
        <v>0.3</v>
      </c>
      <c r="BP34" s="94">
        <f>Income!BP27</f>
        <v>0.3</v>
      </c>
      <c r="BQ34" s="94">
        <f>Income!BQ27</f>
        <v>0.3</v>
      </c>
      <c r="BR34" s="209">
        <f>Income!BR27</f>
        <v>0.3</v>
      </c>
    </row>
    <row r="35" spans="1:70" s="93" customFormat="1" hidden="1" x14ac:dyDescent="0.3">
      <c r="A35" s="120"/>
      <c r="B35" s="229" t="s">
        <v>115</v>
      </c>
      <c r="E35" s="96">
        <f>SUM(K35:V35)</f>
        <v>6.9999999999999991</v>
      </c>
      <c r="F35" s="96">
        <f>SUM(W35:AH35)</f>
        <v>6.9999999999999991</v>
      </c>
      <c r="G35" s="96">
        <f>SUM(AI35:AT35)</f>
        <v>6.9999999999999991</v>
      </c>
      <c r="H35" s="96">
        <f>SUM(AU35:BF35)</f>
        <v>6.9999999999999991</v>
      </c>
      <c r="I35" s="96">
        <f>SUM(BG35:BR35)</f>
        <v>6.9999999999999991</v>
      </c>
      <c r="K35" s="94">
        <f>Income!K28</f>
        <v>0.58333333333333337</v>
      </c>
      <c r="L35" s="94">
        <f>Income!L28</f>
        <v>0.58333333333333337</v>
      </c>
      <c r="M35" s="94">
        <f>Income!M28</f>
        <v>0.58333333333333337</v>
      </c>
      <c r="N35" s="94">
        <f>Income!N28</f>
        <v>0.58333333333333337</v>
      </c>
      <c r="O35" s="94">
        <f>Income!O28</f>
        <v>0.58333333333333337</v>
      </c>
      <c r="P35" s="94">
        <f>Income!P28</f>
        <v>0.58333333333333337</v>
      </c>
      <c r="Q35" s="94">
        <f>Income!Q28</f>
        <v>0.58333333333333337</v>
      </c>
      <c r="R35" s="94">
        <f>Income!R28</f>
        <v>0.58333333333333337</v>
      </c>
      <c r="S35" s="94">
        <f>Income!S28</f>
        <v>0.58333333333333337</v>
      </c>
      <c r="T35" s="94">
        <f>Income!T28</f>
        <v>0.58333333333333337</v>
      </c>
      <c r="U35" s="94">
        <f>Income!U28</f>
        <v>0.58333333333333337</v>
      </c>
      <c r="V35" s="209">
        <f>Income!V28</f>
        <v>0.58333333333333337</v>
      </c>
      <c r="W35" s="94">
        <f>Income!W28</f>
        <v>0.58333333333333337</v>
      </c>
      <c r="X35" s="94">
        <f>Income!X28</f>
        <v>0.58333333333333337</v>
      </c>
      <c r="Y35" s="94">
        <f>Income!Y28</f>
        <v>0.58333333333333337</v>
      </c>
      <c r="Z35" s="94">
        <f>Income!Z28</f>
        <v>0.58333333333333337</v>
      </c>
      <c r="AA35" s="94">
        <f>Income!AA28</f>
        <v>0.58333333333333337</v>
      </c>
      <c r="AB35" s="94">
        <f>Income!AB28</f>
        <v>0.58333333333333337</v>
      </c>
      <c r="AC35" s="94">
        <f>Income!AC28</f>
        <v>0.58333333333333337</v>
      </c>
      <c r="AD35" s="94">
        <f>Income!AD28</f>
        <v>0.58333333333333337</v>
      </c>
      <c r="AE35" s="94">
        <f>Income!AE28</f>
        <v>0.58333333333333337</v>
      </c>
      <c r="AF35" s="94">
        <f>Income!AF28</f>
        <v>0.58333333333333337</v>
      </c>
      <c r="AG35" s="94">
        <f>Income!AG28</f>
        <v>0.58333333333333337</v>
      </c>
      <c r="AH35" s="209">
        <f>Income!AH28</f>
        <v>0.58333333333333337</v>
      </c>
      <c r="AI35" s="94">
        <f>Income!AI28</f>
        <v>0.58333333333333337</v>
      </c>
      <c r="AJ35" s="94">
        <f>Income!AJ28</f>
        <v>0.58333333333333337</v>
      </c>
      <c r="AK35" s="94">
        <f>Income!AK28</f>
        <v>0.58333333333333337</v>
      </c>
      <c r="AL35" s="94">
        <f>Income!AL28</f>
        <v>0.58333333333333337</v>
      </c>
      <c r="AM35" s="94">
        <f>Income!AM28</f>
        <v>0.58333333333333337</v>
      </c>
      <c r="AN35" s="94">
        <f>Income!AN28</f>
        <v>0.58333333333333337</v>
      </c>
      <c r="AO35" s="94">
        <f>Income!AO28</f>
        <v>0.58333333333333337</v>
      </c>
      <c r="AP35" s="94">
        <f>Income!AP28</f>
        <v>0.58333333333333337</v>
      </c>
      <c r="AQ35" s="94">
        <f>Income!AQ28</f>
        <v>0.58333333333333337</v>
      </c>
      <c r="AR35" s="94">
        <f>Income!AR28</f>
        <v>0.58333333333333337</v>
      </c>
      <c r="AS35" s="94">
        <f>Income!AS28</f>
        <v>0.58333333333333337</v>
      </c>
      <c r="AT35" s="209">
        <f>Income!AT28</f>
        <v>0.58333333333333337</v>
      </c>
      <c r="AU35" s="94">
        <f>Income!AU28</f>
        <v>0.58333333333333337</v>
      </c>
      <c r="AV35" s="94">
        <f>Income!AV28</f>
        <v>0.58333333333333337</v>
      </c>
      <c r="AW35" s="94">
        <f>Income!AW28</f>
        <v>0.58333333333333337</v>
      </c>
      <c r="AX35" s="94">
        <f>Income!AX28</f>
        <v>0.58333333333333337</v>
      </c>
      <c r="AY35" s="94">
        <f>Income!AY28</f>
        <v>0.58333333333333337</v>
      </c>
      <c r="AZ35" s="94">
        <f>Income!AZ28</f>
        <v>0.58333333333333337</v>
      </c>
      <c r="BA35" s="94">
        <f>Income!BA28</f>
        <v>0.58333333333333337</v>
      </c>
      <c r="BB35" s="94">
        <f>Income!BB28</f>
        <v>0.58333333333333337</v>
      </c>
      <c r="BC35" s="94">
        <f>Income!BC28</f>
        <v>0.58333333333333337</v>
      </c>
      <c r="BD35" s="94">
        <f>Income!BD28</f>
        <v>0.58333333333333337</v>
      </c>
      <c r="BE35" s="94">
        <f>Income!BE28</f>
        <v>0.58333333333333337</v>
      </c>
      <c r="BF35" s="209">
        <f>Income!BF28</f>
        <v>0.58333333333333337</v>
      </c>
      <c r="BG35" s="94">
        <f>Income!BG28</f>
        <v>0.58333333333333337</v>
      </c>
      <c r="BH35" s="94">
        <f>Income!BH28</f>
        <v>0.58333333333333337</v>
      </c>
      <c r="BI35" s="94">
        <f>Income!BI28</f>
        <v>0.58333333333333337</v>
      </c>
      <c r="BJ35" s="94">
        <f>Income!BJ28</f>
        <v>0.58333333333333337</v>
      </c>
      <c r="BK35" s="94">
        <f>Income!BK28</f>
        <v>0.58333333333333337</v>
      </c>
      <c r="BL35" s="94">
        <f>Income!BL28</f>
        <v>0.58333333333333337</v>
      </c>
      <c r="BM35" s="94">
        <f>Income!BM28</f>
        <v>0.58333333333333337</v>
      </c>
      <c r="BN35" s="94">
        <f>Income!BN28</f>
        <v>0.58333333333333337</v>
      </c>
      <c r="BO35" s="94">
        <f>Income!BO28</f>
        <v>0.58333333333333337</v>
      </c>
      <c r="BP35" s="94">
        <f>Income!BP28</f>
        <v>0.58333333333333337</v>
      </c>
      <c r="BQ35" s="94">
        <f>Income!BQ28</f>
        <v>0.58333333333333337</v>
      </c>
      <c r="BR35" s="209">
        <f>Income!BR28</f>
        <v>0.58333333333333337</v>
      </c>
    </row>
    <row r="36" spans="1:70" s="93" customFormat="1" hidden="1" x14ac:dyDescent="0.3">
      <c r="A36" s="120"/>
      <c r="B36" s="229" t="s">
        <v>147</v>
      </c>
      <c r="E36" s="96">
        <f t="shared" ca="1" si="65"/>
        <v>-343.79202519994067</v>
      </c>
      <c r="F36" s="96">
        <f t="shared" ca="1" si="66"/>
        <v>270.27886504684403</v>
      </c>
      <c r="G36" s="96">
        <f t="shared" ca="1" si="67"/>
        <v>249.2522017936063</v>
      </c>
      <c r="H36" s="96">
        <f t="shared" ca="1" si="68"/>
        <v>434.38725222653886</v>
      </c>
      <c r="I36" s="96">
        <f t="shared" ca="1" si="69"/>
        <v>569.29321390067093</v>
      </c>
      <c r="K36" s="94">
        <f ca="1">Income!K29</f>
        <v>-83.617485904965861</v>
      </c>
      <c r="L36" s="94">
        <f ca="1">Income!L29</f>
        <v>-73.802581163975418</v>
      </c>
      <c r="M36" s="94">
        <f ca="1">Income!M29</f>
        <v>-64.006235675355697</v>
      </c>
      <c r="N36" s="94">
        <f ca="1">Income!N29</f>
        <v>-31.913899579438652</v>
      </c>
      <c r="O36" s="94">
        <f ca="1">Income!O29</f>
        <v>-24.55039300853387</v>
      </c>
      <c r="P36" s="94">
        <f ca="1">Income!P29</f>
        <v>-20.401432041567844</v>
      </c>
      <c r="Q36" s="94">
        <f ca="1">Income!Q29</f>
        <v>-16.83004019254302</v>
      </c>
      <c r="R36" s="94">
        <f ca="1">Income!R29</f>
        <v>-17.051290679847437</v>
      </c>
      <c r="S36" s="94">
        <f ca="1">Income!S29</f>
        <v>-11.062562302733571</v>
      </c>
      <c r="T36" s="94">
        <f ca="1">Income!T29</f>
        <v>-6.0121704078980684</v>
      </c>
      <c r="U36" s="94">
        <f ca="1">Income!U29</f>
        <v>6.9465897968404962</v>
      </c>
      <c r="V36" s="209">
        <f ca="1">Income!V29</f>
        <v>-1.4905240399217095</v>
      </c>
      <c r="W36" s="94">
        <f ca="1">Income!W29</f>
        <v>15.237179198421424</v>
      </c>
      <c r="X36" s="94">
        <f ca="1">Income!X29</f>
        <v>19.216036051540854</v>
      </c>
      <c r="Y36" s="94">
        <f ca="1">Income!Y29</f>
        <v>13.03692693666005</v>
      </c>
      <c r="Z36" s="94">
        <f ca="1">Income!Z29</f>
        <v>16.27442079324446</v>
      </c>
      <c r="AA36" s="94">
        <f ca="1">Income!AA29</f>
        <v>19.151114607637371</v>
      </c>
      <c r="AB36" s="94">
        <f ca="1">Income!AB29</f>
        <v>16.890801889305632</v>
      </c>
      <c r="AC36" s="94">
        <f ca="1">Income!AC29</f>
        <v>16.96605592757869</v>
      </c>
      <c r="AD36" s="94">
        <f ca="1">Income!AD29</f>
        <v>52.039025412753944</v>
      </c>
      <c r="AE36" s="94">
        <f ca="1">Income!AE29</f>
        <v>24.776950348584318</v>
      </c>
      <c r="AF36" s="94">
        <f ca="1">Income!AF29</f>
        <v>25.150942600252026</v>
      </c>
      <c r="AG36" s="94">
        <f ca="1">Income!AG29</f>
        <v>25.553594383544052</v>
      </c>
      <c r="AH36" s="209">
        <f ca="1">Income!AH29</f>
        <v>25.985816897321225</v>
      </c>
      <c r="AI36" s="94">
        <f ca="1">Income!AI29</f>
        <v>26.448543040272256</v>
      </c>
      <c r="AJ36" s="94">
        <f ca="1">Income!AJ29</f>
        <v>10.316773737298147</v>
      </c>
      <c r="AK36" s="94">
        <f ca="1">Income!AK29</f>
        <v>11.680970690211732</v>
      </c>
      <c r="AL36" s="94">
        <f ca="1">Income!AL29</f>
        <v>13.08849296290475</v>
      </c>
      <c r="AM36" s="94">
        <f ca="1">Income!AM29</f>
        <v>12.721095091136542</v>
      </c>
      <c r="AN36" s="94">
        <f ca="1">Income!AN29</f>
        <v>21.343364076063288</v>
      </c>
      <c r="AO36" s="94">
        <f ca="1">Income!AO29</f>
        <v>22.542550243238679</v>
      </c>
      <c r="AP36" s="94">
        <f ca="1">Income!AP29</f>
        <v>23.753320181149181</v>
      </c>
      <c r="AQ36" s="94">
        <f ca="1">Income!AQ29</f>
        <v>24.975799724645093</v>
      </c>
      <c r="AR36" s="94">
        <f ca="1">Income!AR29</f>
        <v>26.210116227230625</v>
      </c>
      <c r="AS36" s="94">
        <f ca="1">Income!AS29</f>
        <v>27.456398581228854</v>
      </c>
      <c r="AT36" s="209">
        <f ca="1">Income!AT29</f>
        <v>28.714777238227153</v>
      </c>
      <c r="AU36" s="94">
        <f ca="1">Income!AU29</f>
        <v>29.985384229807863</v>
      </c>
      <c r="AV36" s="94">
        <f ca="1">Income!AV29</f>
        <v>31.268353188567943</v>
      </c>
      <c r="AW36" s="94">
        <f ca="1">Income!AW29</f>
        <v>32.563819369432004</v>
      </c>
      <c r="AX36" s="94">
        <f ca="1">Income!AX29</f>
        <v>35.871919671261772</v>
      </c>
      <c r="AY36" s="94">
        <f ca="1">Income!AY29</f>
        <v>35.199292658769011</v>
      </c>
      <c r="AZ36" s="94">
        <f ca="1">Income!AZ29</f>
        <v>34.48523597824353</v>
      </c>
      <c r="BA36" s="94">
        <f ca="1">Income!BA29</f>
        <v>35.653310924638362</v>
      </c>
      <c r="BB36" s="94">
        <f ca="1">Income!BB29</f>
        <v>36.834349791458472</v>
      </c>
      <c r="BC36" s="94">
        <f ca="1">Income!BC29</f>
        <v>39.494474580082461</v>
      </c>
      <c r="BD36" s="94">
        <f ca="1">Income!BD29</f>
        <v>40.248542882444369</v>
      </c>
      <c r="BE36" s="94">
        <f ca="1">Income!BE29</f>
        <v>41.008421676130112</v>
      </c>
      <c r="BF36" s="209">
        <f ca="1">Income!BF29</f>
        <v>41.774147275702916</v>
      </c>
      <c r="BG36" s="94">
        <f ca="1">Income!BG29</f>
        <v>42.545756201393303</v>
      </c>
      <c r="BH36" s="94">
        <f ca="1">Income!BH29</f>
        <v>43.323285180206426</v>
      </c>
      <c r="BI36" s="94">
        <f ca="1">Income!BI29</f>
        <v>44.106771147035758</v>
      </c>
      <c r="BJ36" s="94">
        <f ca="1">Income!BJ29</f>
        <v>44.896251245782011</v>
      </c>
      <c r="BK36" s="94">
        <f ca="1">Income!BK29</f>
        <v>45.69176283047895</v>
      </c>
      <c r="BL36" s="94">
        <f ca="1">Income!BL29</f>
        <v>46.493343466423539</v>
      </c>
      <c r="BM36" s="94">
        <f ca="1">Income!BM29</f>
        <v>53.301030931313313</v>
      </c>
      <c r="BN36" s="94">
        <f ca="1">Income!BN29</f>
        <v>48.134363216389282</v>
      </c>
      <c r="BO36" s="94">
        <f ca="1">Income!BO29</f>
        <v>48.954441902584193</v>
      </c>
      <c r="BP36" s="94">
        <f ca="1">Income!BP29</f>
        <v>49.780742242647101</v>
      </c>
      <c r="BQ36" s="94">
        <f ca="1">Income!BQ29</f>
        <v>50.613302876034957</v>
      </c>
      <c r="BR36" s="209">
        <f ca="1">Income!BR29</f>
        <v>51.45216266038215</v>
      </c>
    </row>
    <row r="37" spans="1:70" s="93" customFormat="1" x14ac:dyDescent="0.3">
      <c r="A37" s="120"/>
      <c r="B37" s="97" t="s">
        <v>210</v>
      </c>
      <c r="E37" s="96"/>
      <c r="F37" s="96"/>
      <c r="G37" s="96"/>
      <c r="H37" s="96"/>
      <c r="I37" s="96"/>
      <c r="K37" s="94">
        <f ca="1">SUM(K34:K36)</f>
        <v>-82.984152571632521</v>
      </c>
      <c r="L37" s="94">
        <f t="shared" ref="L37:BR37" ca="1" si="70">SUM(L34:L36)</f>
        <v>-73.169247830642078</v>
      </c>
      <c r="M37" s="94">
        <f t="shared" ca="1" si="70"/>
        <v>-63.372902342022364</v>
      </c>
      <c r="N37" s="94">
        <f t="shared" ca="1" si="70"/>
        <v>-31.28056624610532</v>
      </c>
      <c r="O37" s="94">
        <f t="shared" ca="1" si="70"/>
        <v>-23.917059675200537</v>
      </c>
      <c r="P37" s="94">
        <f t="shared" ca="1" si="70"/>
        <v>-19.643098708234511</v>
      </c>
      <c r="Q37" s="94">
        <f t="shared" ca="1" si="70"/>
        <v>-16.071706859209687</v>
      </c>
      <c r="R37" s="94">
        <f t="shared" ca="1" si="70"/>
        <v>-16.292957346514104</v>
      </c>
      <c r="S37" s="94">
        <f t="shared" ca="1" si="70"/>
        <v>-10.179228969400238</v>
      </c>
      <c r="T37" s="94">
        <f t="shared" ca="1" si="70"/>
        <v>-5.1288370745647356</v>
      </c>
      <c r="U37" s="94">
        <f t="shared" ca="1" si="70"/>
        <v>7.8299231301738299</v>
      </c>
      <c r="V37" s="209">
        <f t="shared" ca="1" si="70"/>
        <v>-0.60719070658837615</v>
      </c>
      <c r="W37" s="94">
        <f t="shared" ca="1" si="70"/>
        <v>16.120512531754759</v>
      </c>
      <c r="X37" s="94">
        <f t="shared" ca="1" si="70"/>
        <v>20.099369384874187</v>
      </c>
      <c r="Y37" s="94">
        <f t="shared" ca="1" si="70"/>
        <v>13.920260269993383</v>
      </c>
      <c r="Z37" s="94">
        <f t="shared" ca="1" si="70"/>
        <v>17.157754126577792</v>
      </c>
      <c r="AA37" s="94">
        <f t="shared" ca="1" si="70"/>
        <v>20.034447940970704</v>
      </c>
      <c r="AB37" s="94">
        <f t="shared" ca="1" si="70"/>
        <v>17.774135222638964</v>
      </c>
      <c r="AC37" s="94">
        <f t="shared" ca="1" si="70"/>
        <v>17.849389260912023</v>
      </c>
      <c r="AD37" s="94">
        <f t="shared" ca="1" si="70"/>
        <v>52.922358746087276</v>
      </c>
      <c r="AE37" s="94">
        <f t="shared" ca="1" si="70"/>
        <v>25.660283681917651</v>
      </c>
      <c r="AF37" s="94">
        <f t="shared" ca="1" si="70"/>
        <v>26.034275933585359</v>
      </c>
      <c r="AG37" s="94">
        <f t="shared" ca="1" si="70"/>
        <v>26.436927716877385</v>
      </c>
      <c r="AH37" s="209">
        <f t="shared" ca="1" si="70"/>
        <v>26.869150230654558</v>
      </c>
      <c r="AI37" s="94">
        <f t="shared" ca="1" si="70"/>
        <v>27.331876373605589</v>
      </c>
      <c r="AJ37" s="94">
        <f t="shared" ca="1" si="70"/>
        <v>11.20010707063148</v>
      </c>
      <c r="AK37" s="94">
        <f t="shared" ca="1" si="70"/>
        <v>12.564304023545064</v>
      </c>
      <c r="AL37" s="94">
        <f t="shared" ca="1" si="70"/>
        <v>13.971826296238083</v>
      </c>
      <c r="AM37" s="94">
        <f t="shared" ca="1" si="70"/>
        <v>13.604428424469875</v>
      </c>
      <c r="AN37" s="94">
        <f t="shared" ca="1" si="70"/>
        <v>22.226697409396621</v>
      </c>
      <c r="AO37" s="94">
        <f t="shared" ca="1" si="70"/>
        <v>23.425883576572012</v>
      </c>
      <c r="AP37" s="94">
        <f t="shared" ca="1" si="70"/>
        <v>24.636653514482514</v>
      </c>
      <c r="AQ37" s="94">
        <f t="shared" ca="1" si="70"/>
        <v>25.859133057978426</v>
      </c>
      <c r="AR37" s="94">
        <f t="shared" ca="1" si="70"/>
        <v>27.093449560563958</v>
      </c>
      <c r="AS37" s="94">
        <f t="shared" ca="1" si="70"/>
        <v>28.339731914562186</v>
      </c>
      <c r="AT37" s="209">
        <f t="shared" ca="1" si="70"/>
        <v>29.598110571560486</v>
      </c>
      <c r="AU37" s="94">
        <f t="shared" ca="1" si="70"/>
        <v>30.868717563141196</v>
      </c>
      <c r="AV37" s="94">
        <f t="shared" ca="1" si="70"/>
        <v>32.151686521901276</v>
      </c>
      <c r="AW37" s="94">
        <f t="shared" ca="1" si="70"/>
        <v>33.447152702765337</v>
      </c>
      <c r="AX37" s="94">
        <f t="shared" ca="1" si="70"/>
        <v>36.755253004595104</v>
      </c>
      <c r="AY37" s="94">
        <f t="shared" ca="1" si="70"/>
        <v>36.082625992102344</v>
      </c>
      <c r="AZ37" s="94">
        <f t="shared" ca="1" si="70"/>
        <v>35.368569311576863</v>
      </c>
      <c r="BA37" s="94">
        <f t="shared" ca="1" si="70"/>
        <v>36.536644257971695</v>
      </c>
      <c r="BB37" s="94">
        <f t="shared" ca="1" si="70"/>
        <v>37.717683124791805</v>
      </c>
      <c r="BC37" s="94">
        <f t="shared" ca="1" si="70"/>
        <v>40.377807913415793</v>
      </c>
      <c r="BD37" s="94">
        <f t="shared" ca="1" si="70"/>
        <v>41.131876215777702</v>
      </c>
      <c r="BE37" s="94">
        <f t="shared" ca="1" si="70"/>
        <v>41.891755009463445</v>
      </c>
      <c r="BF37" s="209">
        <f t="shared" ca="1" si="70"/>
        <v>42.657480609036249</v>
      </c>
      <c r="BG37" s="94">
        <f t="shared" ca="1" si="70"/>
        <v>43.429089534726636</v>
      </c>
      <c r="BH37" s="94">
        <f t="shared" ca="1" si="70"/>
        <v>44.206618513539759</v>
      </c>
      <c r="BI37" s="94">
        <f t="shared" ca="1" si="70"/>
        <v>44.990104480369091</v>
      </c>
      <c r="BJ37" s="94">
        <f t="shared" ca="1" si="70"/>
        <v>45.779584579115344</v>
      </c>
      <c r="BK37" s="94">
        <f t="shared" ca="1" si="70"/>
        <v>46.575096163812283</v>
      </c>
      <c r="BL37" s="94">
        <f t="shared" ca="1" si="70"/>
        <v>47.376676799756872</v>
      </c>
      <c r="BM37" s="94">
        <f t="shared" ca="1" si="70"/>
        <v>54.184364264646646</v>
      </c>
      <c r="BN37" s="94">
        <f t="shared" ca="1" si="70"/>
        <v>49.017696549722615</v>
      </c>
      <c r="BO37" s="94">
        <f t="shared" ca="1" si="70"/>
        <v>49.837775235917526</v>
      </c>
      <c r="BP37" s="94">
        <f t="shared" ca="1" si="70"/>
        <v>50.664075575980434</v>
      </c>
      <c r="BQ37" s="94">
        <f t="shared" ca="1" si="70"/>
        <v>51.49663620936829</v>
      </c>
      <c r="BR37" s="209">
        <f t="shared" ca="1" si="70"/>
        <v>52.335495993715483</v>
      </c>
    </row>
    <row r="38" spans="1:70" s="93" customFormat="1" x14ac:dyDescent="0.3">
      <c r="A38" s="120"/>
      <c r="B38" s="135" t="s">
        <v>118</v>
      </c>
      <c r="E38" s="136">
        <f t="shared" si="65"/>
        <v>50</v>
      </c>
      <c r="F38" s="136">
        <f t="shared" si="66"/>
        <v>100</v>
      </c>
      <c r="G38" s="136">
        <f t="shared" si="67"/>
        <v>0</v>
      </c>
      <c r="H38" s="136">
        <f t="shared" si="68"/>
        <v>0</v>
      </c>
      <c r="I38" s="136">
        <f t="shared" si="69"/>
        <v>0</v>
      </c>
      <c r="K38" s="99">
        <f>Income!K32</f>
        <v>0</v>
      </c>
      <c r="L38" s="99">
        <f>Income!L32</f>
        <v>0</v>
      </c>
      <c r="M38" s="99">
        <f>Income!M32</f>
        <v>0</v>
      </c>
      <c r="N38" s="99">
        <f>Income!N32</f>
        <v>0</v>
      </c>
      <c r="O38" s="99">
        <f>Income!O32</f>
        <v>0</v>
      </c>
      <c r="P38" s="99">
        <f>Income!P32</f>
        <v>50</v>
      </c>
      <c r="Q38" s="99">
        <f>Income!Q32</f>
        <v>0</v>
      </c>
      <c r="R38" s="99">
        <f>Income!R32</f>
        <v>0</v>
      </c>
      <c r="S38" s="99">
        <f>Income!S32</f>
        <v>0</v>
      </c>
      <c r="T38" s="99">
        <f>Income!T32</f>
        <v>0</v>
      </c>
      <c r="U38" s="99">
        <f>Income!U32</f>
        <v>0</v>
      </c>
      <c r="V38" s="136">
        <f>Income!V32</f>
        <v>0</v>
      </c>
      <c r="W38" s="99">
        <f>Income!W32</f>
        <v>0</v>
      </c>
      <c r="X38" s="99">
        <f>Income!X32</f>
        <v>0</v>
      </c>
      <c r="Y38" s="99">
        <f>Income!Y32</f>
        <v>0</v>
      </c>
      <c r="Z38" s="99">
        <f>Income!Z32</f>
        <v>0</v>
      </c>
      <c r="AA38" s="99">
        <f>Income!AA32</f>
        <v>0</v>
      </c>
      <c r="AB38" s="99">
        <f>Income!AB32</f>
        <v>100</v>
      </c>
      <c r="AC38" s="99">
        <f>Income!AC32</f>
        <v>0</v>
      </c>
      <c r="AD38" s="99">
        <f>Income!AD32</f>
        <v>0</v>
      </c>
      <c r="AE38" s="99">
        <f>Income!AE32</f>
        <v>0</v>
      </c>
      <c r="AF38" s="99">
        <f>Income!AF32</f>
        <v>0</v>
      </c>
      <c r="AG38" s="99">
        <f>Income!AG32</f>
        <v>0</v>
      </c>
      <c r="AH38" s="136">
        <f>Income!AH32</f>
        <v>0</v>
      </c>
      <c r="AI38" s="99">
        <f>Income!AI32</f>
        <v>0</v>
      </c>
      <c r="AJ38" s="99">
        <f>Income!AJ32</f>
        <v>0</v>
      </c>
      <c r="AK38" s="99">
        <f>Income!AK32</f>
        <v>0</v>
      </c>
      <c r="AL38" s="99">
        <f>Income!AL32</f>
        <v>0</v>
      </c>
      <c r="AM38" s="99">
        <f>Income!AM32</f>
        <v>0</v>
      </c>
      <c r="AN38" s="99">
        <f>Income!AN32</f>
        <v>0</v>
      </c>
      <c r="AO38" s="99">
        <f>Income!AO32</f>
        <v>0</v>
      </c>
      <c r="AP38" s="99">
        <f>Income!AP32</f>
        <v>0</v>
      </c>
      <c r="AQ38" s="99">
        <f>Income!AQ32</f>
        <v>0</v>
      </c>
      <c r="AR38" s="99">
        <f>Income!AR32</f>
        <v>0</v>
      </c>
      <c r="AS38" s="99">
        <f>Income!AS32</f>
        <v>0</v>
      </c>
      <c r="AT38" s="136">
        <f>Income!AT32</f>
        <v>0</v>
      </c>
      <c r="AU38" s="99">
        <f>Income!AU32</f>
        <v>0</v>
      </c>
      <c r="AV38" s="99">
        <f>Income!AV32</f>
        <v>0</v>
      </c>
      <c r="AW38" s="99">
        <f>Income!AW32</f>
        <v>0</v>
      </c>
      <c r="AX38" s="99">
        <f>Income!AX32</f>
        <v>0</v>
      </c>
      <c r="AY38" s="99">
        <f>Income!AY32</f>
        <v>0</v>
      </c>
      <c r="AZ38" s="99">
        <f>Income!AZ32</f>
        <v>0</v>
      </c>
      <c r="BA38" s="99">
        <f>Income!BA32</f>
        <v>0</v>
      </c>
      <c r="BB38" s="99">
        <f>Income!BB32</f>
        <v>0</v>
      </c>
      <c r="BC38" s="99">
        <f>Income!BC32</f>
        <v>0</v>
      </c>
      <c r="BD38" s="99">
        <f>Income!BD32</f>
        <v>0</v>
      </c>
      <c r="BE38" s="99">
        <f>Income!BE32</f>
        <v>0</v>
      </c>
      <c r="BF38" s="136">
        <f>Income!BF32</f>
        <v>0</v>
      </c>
      <c r="BG38" s="99">
        <f>Income!BG32</f>
        <v>0</v>
      </c>
      <c r="BH38" s="99">
        <f>Income!BH32</f>
        <v>0</v>
      </c>
      <c r="BI38" s="99">
        <f>Income!BI32</f>
        <v>0</v>
      </c>
      <c r="BJ38" s="99">
        <f>Income!BJ32</f>
        <v>0</v>
      </c>
      <c r="BK38" s="99">
        <f>Income!BK32</f>
        <v>0</v>
      </c>
      <c r="BL38" s="99">
        <f>Income!BL32</f>
        <v>0</v>
      </c>
      <c r="BM38" s="99">
        <f>Income!BM32</f>
        <v>0</v>
      </c>
      <c r="BN38" s="99">
        <f>Income!BN32</f>
        <v>0</v>
      </c>
      <c r="BO38" s="99">
        <f>Income!BO32</f>
        <v>0</v>
      </c>
      <c r="BP38" s="99">
        <f>Income!BP32</f>
        <v>0</v>
      </c>
      <c r="BQ38" s="99">
        <f>Income!BQ32</f>
        <v>0</v>
      </c>
      <c r="BR38" s="136">
        <f>Income!BR32</f>
        <v>0</v>
      </c>
    </row>
    <row r="39" spans="1:70" s="133" customFormat="1" x14ac:dyDescent="0.3">
      <c r="A39" s="120"/>
      <c r="B39" s="132" t="s">
        <v>148</v>
      </c>
      <c r="E39" s="102">
        <f t="shared" ca="1" si="65"/>
        <v>2423.1133861360377</v>
      </c>
      <c r="F39" s="102">
        <f t="shared" ca="1" si="66"/>
        <v>3187.727491939113</v>
      </c>
      <c r="G39" s="102">
        <f t="shared" ca="1" si="67"/>
        <v>3222.3498725946447</v>
      </c>
      <c r="H39" s="102">
        <f t="shared" ca="1" si="68"/>
        <v>3484.3118933365668</v>
      </c>
      <c r="I39" s="102">
        <f t="shared" ca="1" si="69"/>
        <v>3699.1251620770317</v>
      </c>
      <c r="K39" s="93">
        <f ca="1">SUM(K31,K32,K33,K37,K38)</f>
        <v>124.94251409503416</v>
      </c>
      <c r="L39" s="93">
        <f t="shared" ref="L39:BR39" ca="1" si="71">SUM(L31,L32,L33,L37,L38)</f>
        <v>104.35413272491344</v>
      </c>
      <c r="M39" s="93">
        <f t="shared" ca="1" si="71"/>
        <v>122.53342431085181</v>
      </c>
      <c r="N39" s="93">
        <f t="shared" ca="1" si="71"/>
        <v>405.04675930682879</v>
      </c>
      <c r="O39" s="93">
        <f t="shared" ca="1" si="71"/>
        <v>162.83270297287982</v>
      </c>
      <c r="P39" s="93">
        <f t="shared" ca="1" si="71"/>
        <v>317.53054554323256</v>
      </c>
      <c r="Q39" s="93">
        <f t="shared" ca="1" si="71"/>
        <v>178.88726984744412</v>
      </c>
      <c r="R39" s="93">
        <f t="shared" ca="1" si="71"/>
        <v>229.10200904124193</v>
      </c>
      <c r="S39" s="93">
        <f t="shared" ca="1" si="71"/>
        <v>185.65320223019609</v>
      </c>
      <c r="T39" s="93">
        <f t="shared" ca="1" si="71"/>
        <v>191.14254051766665</v>
      </c>
      <c r="U39" s="93">
        <f t="shared" ca="1" si="71"/>
        <v>204.54173517692152</v>
      </c>
      <c r="V39" s="102">
        <f t="shared" ca="1" si="71"/>
        <v>196.54655036882679</v>
      </c>
      <c r="W39" s="93">
        <f t="shared" ca="1" si="71"/>
        <v>221.07768375359606</v>
      </c>
      <c r="X39" s="93">
        <f t="shared" ca="1" si="71"/>
        <v>225.51067844600058</v>
      </c>
      <c r="Y39" s="93">
        <f t="shared" ca="1" si="71"/>
        <v>244.32056630334597</v>
      </c>
      <c r="Z39" s="93">
        <f t="shared" ca="1" si="71"/>
        <v>248.04592291802678</v>
      </c>
      <c r="AA39" s="93">
        <f t="shared" ca="1" si="71"/>
        <v>251.41205696129578</v>
      </c>
      <c r="AB39" s="93">
        <f t="shared" ca="1" si="71"/>
        <v>368.22943537425158</v>
      </c>
      <c r="AC39" s="93">
        <f t="shared" ca="1" si="71"/>
        <v>258.80803824354626</v>
      </c>
      <c r="AD39" s="93">
        <f t="shared" ca="1" si="71"/>
        <v>294.38596783931746</v>
      </c>
      <c r="AE39" s="93">
        <f t="shared" ca="1" si="71"/>
        <v>267.63047104460725</v>
      </c>
      <c r="AF39" s="93">
        <f t="shared" ca="1" si="71"/>
        <v>268.51266663674772</v>
      </c>
      <c r="AG39" s="93">
        <f t="shared" ca="1" si="71"/>
        <v>269.42515377669844</v>
      </c>
      <c r="AH39" s="102">
        <f t="shared" ca="1" si="71"/>
        <v>270.36885064167905</v>
      </c>
      <c r="AI39" s="93">
        <f t="shared" ca="1" si="71"/>
        <v>271.34469714208677</v>
      </c>
      <c r="AJ39" s="93">
        <f t="shared" ca="1" si="71"/>
        <v>255.72770124804589</v>
      </c>
      <c r="AK39" s="93">
        <f t="shared" ca="1" si="71"/>
        <v>257.6083317402726</v>
      </c>
      <c r="AL39" s="93">
        <f t="shared" ca="1" si="71"/>
        <v>259.53395479540876</v>
      </c>
      <c r="AM39" s="93">
        <f t="shared" ca="1" si="71"/>
        <v>259.68633209597738</v>
      </c>
      <c r="AN39" s="93">
        <f ca="1">SUM(AN31,AN32,AN33,AN37,AN38)</f>
        <v>268.8300578240802</v>
      </c>
      <c r="AO39" s="93">
        <f t="shared" ca="1" si="71"/>
        <v>270.55238952056715</v>
      </c>
      <c r="AP39" s="93">
        <f t="shared" ca="1" si="71"/>
        <v>272.2880010237414</v>
      </c>
      <c r="AQ39" s="93">
        <f t="shared" ca="1" si="71"/>
        <v>274.03702545296085</v>
      </c>
      <c r="AR39" s="93">
        <f t="shared" ca="1" si="71"/>
        <v>275.79959748109968</v>
      </c>
      <c r="AS39" s="93">
        <f t="shared" ca="1" si="71"/>
        <v>277.57585335488557</v>
      </c>
      <c r="AT39" s="102">
        <f t="shared" ca="1" si="71"/>
        <v>279.36593091551845</v>
      </c>
      <c r="AU39" s="93">
        <f t="shared" ca="1" si="71"/>
        <v>281.16996961957472</v>
      </c>
      <c r="AV39" s="93">
        <f t="shared" ca="1" si="71"/>
        <v>282.98811056020219</v>
      </c>
      <c r="AW39" s="93">
        <f t="shared" ca="1" si="71"/>
        <v>284.82049648860863</v>
      </c>
      <c r="AX39" s="93">
        <f t="shared" ca="1" si="71"/>
        <v>288.66727183584794</v>
      </c>
      <c r="AY39" s="93">
        <f t="shared" ca="1" si="71"/>
        <v>288.5350827349103</v>
      </c>
      <c r="AZ39" s="93">
        <f t="shared" ca="1" si="71"/>
        <v>288.36323443662906</v>
      </c>
      <c r="BA39" s="93">
        <f t="shared" ca="1" si="71"/>
        <v>290.07529587694455</v>
      </c>
      <c r="BB39" s="93">
        <f t="shared" ca="1" si="71"/>
        <v>291.80210702697343</v>
      </c>
      <c r="BC39" s="93">
        <f t="shared" ca="1" si="71"/>
        <v>295.0097976025113</v>
      </c>
      <c r="BD39" s="93">
        <f t="shared" ca="1" si="71"/>
        <v>296.31323294689628</v>
      </c>
      <c r="BE39" s="93">
        <f t="shared" ca="1" si="71"/>
        <v>297.62428782628854</v>
      </c>
      <c r="BF39" s="102">
        <f t="shared" ca="1" si="71"/>
        <v>298.94300638117943</v>
      </c>
      <c r="BG39" s="93">
        <f t="shared" ca="1" si="71"/>
        <v>300.26943299526613</v>
      </c>
      <c r="BH39" s="93">
        <f t="shared" ca="1" si="71"/>
        <v>301.60361229674459</v>
      </c>
      <c r="BI39" s="93">
        <f t="shared" ca="1" si="71"/>
        <v>302.94558915960971</v>
      </c>
      <c r="BJ39" s="93">
        <f t="shared" ca="1" si="71"/>
        <v>304.29540870496191</v>
      </c>
      <c r="BK39" s="93">
        <f t="shared" ca="1" si="71"/>
        <v>305.65311630232111</v>
      </c>
      <c r="BL39" s="93">
        <f t="shared" ca="1" si="71"/>
        <v>307.01875757094638</v>
      </c>
      <c r="BM39" s="93">
        <f t="shared" ca="1" si="71"/>
        <v>314.39237838116344</v>
      </c>
      <c r="BN39" s="93">
        <f t="shared" ca="1" si="71"/>
        <v>309.79352485569905</v>
      </c>
      <c r="BO39" s="93">
        <f t="shared" ca="1" si="71"/>
        <v>311.18330674602112</v>
      </c>
      <c r="BP39" s="93">
        <f t="shared" ca="1" si="71"/>
        <v>312.58120751465663</v>
      </c>
      <c r="BQ39" s="93">
        <f t="shared" ca="1" si="71"/>
        <v>313.98727405027739</v>
      </c>
      <c r="BR39" s="102">
        <f t="shared" ca="1" si="71"/>
        <v>315.40155349936435</v>
      </c>
    </row>
    <row r="40" spans="1:70" ht="6" customHeight="1" x14ac:dyDescent="0.3">
      <c r="E40" s="256"/>
      <c r="F40" s="256"/>
      <c r="G40" s="256"/>
      <c r="H40" s="256"/>
      <c r="I40" s="256"/>
    </row>
    <row r="41" spans="1:70" s="133" customFormat="1" x14ac:dyDescent="0.3">
      <c r="A41" s="120"/>
      <c r="B41" s="132" t="s">
        <v>214</v>
      </c>
      <c r="E41" s="102">
        <f ca="1">SUM(K41:V41)</f>
        <v>-15130.944281642462</v>
      </c>
      <c r="F41" s="102">
        <f ca="1">SUM(W41:AH41)</f>
        <v>-1434.8173574857656</v>
      </c>
      <c r="G41" s="102">
        <f ca="1">SUM(AI41:AT41)</f>
        <v>608.53818134056814</v>
      </c>
      <c r="H41" s="102">
        <f ca="1">SUM(AU41:BF41)</f>
        <v>413.18099989557766</v>
      </c>
      <c r="I41" s="102">
        <f ca="1">SUM(BG41:BR41)</f>
        <v>867.63462605790255</v>
      </c>
      <c r="K41" s="93">
        <f t="shared" ref="K41:AP41" ca="1" si="72">K26-K39</f>
        <v>-2418.137497165068</v>
      </c>
      <c r="L41" s="93">
        <f t="shared" ca="1" si="72"/>
        <v>-2257.890793646714</v>
      </c>
      <c r="M41" s="93">
        <f t="shared" ca="1" si="72"/>
        <v>-2135.517371518662</v>
      </c>
      <c r="N41" s="93">
        <f t="shared" ca="1" si="72"/>
        <v>-1460.4865049744531</v>
      </c>
      <c r="O41" s="93">
        <f t="shared" ca="1" si="72"/>
        <v>-1128.8006581936302</v>
      </c>
      <c r="P41" s="93">
        <f t="shared" ca="1" si="72"/>
        <v>-1161.8811959942034</v>
      </c>
      <c r="Q41" s="93">
        <f t="shared" ca="1" si="72"/>
        <v>-971.59083287005444</v>
      </c>
      <c r="R41" s="93">
        <f t="shared" ca="1" si="72"/>
        <v>-933.91987198821357</v>
      </c>
      <c r="S41" s="93">
        <f t="shared" ca="1" si="72"/>
        <v>-777.17457640969701</v>
      </c>
      <c r="T41" s="93">
        <f t="shared" ca="1" si="72"/>
        <v>-718.3172215837908</v>
      </c>
      <c r="U41" s="93">
        <f t="shared" ca="1" si="72"/>
        <v>-641.85083452700064</v>
      </c>
      <c r="V41" s="102">
        <f t="shared" ca="1" si="72"/>
        <v>-525.37692277097426</v>
      </c>
      <c r="W41" s="93">
        <f t="shared" ca="1" si="72"/>
        <v>-479.98571523005648</v>
      </c>
      <c r="X41" s="93">
        <f t="shared" ca="1" si="72"/>
        <v>-392.67758060469225</v>
      </c>
      <c r="Y41" s="93">
        <f t="shared" ca="1" si="72"/>
        <v>-319.07667493446502</v>
      </c>
      <c r="Z41" s="93">
        <f t="shared" ca="1" si="72"/>
        <v>-229.79716173557506</v>
      </c>
      <c r="AA41" s="93">
        <f t="shared" ca="1" si="72"/>
        <v>-139.48080629520302</v>
      </c>
      <c r="AB41" s="93">
        <f t="shared" ca="1" si="72"/>
        <v>-161.9338844239534</v>
      </c>
      <c r="AC41" s="93">
        <f t="shared" ca="1" si="72"/>
        <v>-51.889593681535587</v>
      </c>
      <c r="AD41" s="93">
        <f t="shared" ca="1" si="72"/>
        <v>183.03800376283266</v>
      </c>
      <c r="AE41" s="93">
        <f t="shared" ca="1" si="72"/>
        <v>37.578684335441949</v>
      </c>
      <c r="AF41" s="93">
        <f t="shared" ca="1" si="72"/>
        <v>38.701548147153005</v>
      </c>
      <c r="AG41" s="93">
        <f t="shared" ca="1" si="72"/>
        <v>39.808153499566629</v>
      </c>
      <c r="AH41" s="102">
        <f t="shared" ca="1" si="72"/>
        <v>40.897669674721442</v>
      </c>
      <c r="AI41" s="93">
        <f t="shared" ca="1" si="72"/>
        <v>41.969244726265799</v>
      </c>
      <c r="AJ41" s="93">
        <f t="shared" ca="1" si="72"/>
        <v>59.559911832851867</v>
      </c>
      <c r="AK41" s="93">
        <f t="shared" ca="1" si="72"/>
        <v>59.76135121281385</v>
      </c>
      <c r="AL41" s="93">
        <f t="shared" ca="1" si="72"/>
        <v>59.932253817973105</v>
      </c>
      <c r="AM41" s="93">
        <f t="shared" ca="1" si="72"/>
        <v>-4.2346236432710498</v>
      </c>
      <c r="AN41" s="93">
        <f t="shared" ca="1" si="72"/>
        <v>54.683875491622871</v>
      </c>
      <c r="AO41" s="93">
        <f t="shared" ca="1" si="72"/>
        <v>55.098945457829529</v>
      </c>
      <c r="AP41" s="93">
        <f t="shared" ca="1" si="72"/>
        <v>55.515387141749954</v>
      </c>
      <c r="AQ41" s="93">
        <f t="shared" ref="AQ41:BR41" ca="1" si="73">AQ26-AQ39</f>
        <v>55.933156481192441</v>
      </c>
      <c r="AR41" s="93">
        <f t="shared" ca="1" si="73"/>
        <v>56.352208358876965</v>
      </c>
      <c r="AS41" s="93">
        <f t="shared" ca="1" si="73"/>
        <v>56.772496584731471</v>
      </c>
      <c r="AT41" s="102">
        <f t="shared" ca="1" si="73"/>
        <v>57.193973877931228</v>
      </c>
      <c r="AU41" s="93">
        <f t="shared" ca="1" si="73"/>
        <v>57.616591848661471</v>
      </c>
      <c r="AV41" s="93">
        <f t="shared" ca="1" si="73"/>
        <v>58.040300979604467</v>
      </c>
      <c r="AW41" s="93">
        <f t="shared" ca="1" si="73"/>
        <v>58.465050607143041</v>
      </c>
      <c r="AX41" s="93">
        <f t="shared" ca="1" si="73"/>
        <v>61.890788902286658</v>
      </c>
      <c r="AY41" s="93">
        <f t="shared" ca="1" si="73"/>
        <v>59.327212851298555</v>
      </c>
      <c r="AZ41" s="93">
        <f t="shared" ca="1" si="73"/>
        <v>-44.678781619207371</v>
      </c>
      <c r="BA41" s="93">
        <f t="shared" ca="1" si="73"/>
        <v>-44.315825491446162</v>
      </c>
      <c r="BB41" s="93">
        <f t="shared" ca="1" si="73"/>
        <v>-43.952756160263391</v>
      </c>
      <c r="BC41" s="93">
        <f t="shared" ca="1" si="73"/>
        <v>61.103660313170508</v>
      </c>
      <c r="BD41" s="93">
        <f t="shared" ca="1" si="73"/>
        <v>62.160329400800038</v>
      </c>
      <c r="BE41" s="93">
        <f t="shared" ca="1" si="73"/>
        <v>63.225425801693916</v>
      </c>
      <c r="BF41" s="102">
        <f t="shared" ca="1" si="73"/>
        <v>64.299002461835926</v>
      </c>
      <c r="BG41" s="93">
        <f t="shared" ca="1" si="73"/>
        <v>65.381112628163237</v>
      </c>
      <c r="BH41" s="93">
        <f t="shared" ca="1" si="73"/>
        <v>66.471809850194006</v>
      </c>
      <c r="BI41" s="93">
        <f t="shared" ca="1" si="73"/>
        <v>67.571147981655884</v>
      </c>
      <c r="BJ41" s="93">
        <f t="shared" ca="1" si="73"/>
        <v>68.679181182127934</v>
      </c>
      <c r="BK41" s="93">
        <f t="shared" ca="1" si="73"/>
        <v>69.795963918692451</v>
      </c>
      <c r="BL41" s="93">
        <f t="shared" ca="1" si="73"/>
        <v>70.92155096758745</v>
      </c>
      <c r="BM41" s="93">
        <f t="shared" ca="1" si="73"/>
        <v>81.055997415878323</v>
      </c>
      <c r="BN41" s="93">
        <f t="shared" ca="1" si="73"/>
        <v>73.228608663132206</v>
      </c>
      <c r="BO41" s="93">
        <f t="shared" ca="1" si="73"/>
        <v>74.381035485597749</v>
      </c>
      <c r="BP41" s="93">
        <f t="shared" ca="1" si="73"/>
        <v>75.54248915935591</v>
      </c>
      <c r="BQ41" s="93">
        <f t="shared" ca="1" si="73"/>
        <v>76.713026032621201</v>
      </c>
      <c r="BR41" s="102">
        <f t="shared" ca="1" si="73"/>
        <v>77.8927027728962</v>
      </c>
    </row>
    <row r="42" spans="1:70" ht="6" customHeight="1" x14ac:dyDescent="0.3">
      <c r="E42" s="256"/>
      <c r="F42" s="256"/>
      <c r="G42" s="256"/>
      <c r="H42" s="256"/>
      <c r="I42" s="256"/>
    </row>
    <row r="43" spans="1:70" s="93" customFormat="1" x14ac:dyDescent="0.3">
      <c r="A43" s="120"/>
      <c r="B43" s="97" t="s">
        <v>149</v>
      </c>
      <c r="E43" s="96">
        <f ca="1">V43</f>
        <v>-325.37692277097426</v>
      </c>
      <c r="F43" s="96">
        <f ca="1">AH43</f>
        <v>240.89766967472144</v>
      </c>
      <c r="G43" s="96">
        <f ca="1">AT43</f>
        <v>257.19397387793123</v>
      </c>
      <c r="H43" s="96">
        <f ca="1">BF43</f>
        <v>264.29900246183593</v>
      </c>
      <c r="I43" s="96">
        <f ca="1">BR43</f>
        <v>277.8927027728962</v>
      </c>
      <c r="K43" s="94">
        <f t="shared" ref="K43:AP43" ca="1" si="74">K41+K5</f>
        <v>-2158.137497165068</v>
      </c>
      <c r="L43" s="95">
        <f t="shared" ca="1" si="74"/>
        <v>-2057.890793646714</v>
      </c>
      <c r="M43" s="95">
        <f t="shared" ca="1" si="74"/>
        <v>-1935.517371518662</v>
      </c>
      <c r="N43" s="95">
        <f t="shared" ca="1" si="74"/>
        <v>-1260.4865049744531</v>
      </c>
      <c r="O43" s="95">
        <f t="shared" ca="1" si="74"/>
        <v>-928.80065819363017</v>
      </c>
      <c r="P43" s="95">
        <f t="shared" ca="1" si="74"/>
        <v>-961.88119599420338</v>
      </c>
      <c r="Q43" s="95">
        <f t="shared" ca="1" si="74"/>
        <v>-771.59083287005444</v>
      </c>
      <c r="R43" s="95">
        <f t="shared" ca="1" si="74"/>
        <v>-733.91987198821357</v>
      </c>
      <c r="S43" s="95">
        <f t="shared" ca="1" si="74"/>
        <v>-577.17457640969701</v>
      </c>
      <c r="T43" s="95">
        <f t="shared" ca="1" si="74"/>
        <v>-518.3172215837908</v>
      </c>
      <c r="U43" s="95">
        <f t="shared" ca="1" si="74"/>
        <v>-441.85083452700064</v>
      </c>
      <c r="V43" s="96">
        <f t="shared" ca="1" si="74"/>
        <v>-325.37692277097426</v>
      </c>
      <c r="W43" s="94">
        <f t="shared" ca="1" si="74"/>
        <v>-279.98571523005648</v>
      </c>
      <c r="X43" s="95">
        <f t="shared" ca="1" si="74"/>
        <v>-192.67758060469225</v>
      </c>
      <c r="Y43" s="95">
        <f t="shared" ca="1" si="74"/>
        <v>-119.07667493446502</v>
      </c>
      <c r="Z43" s="95">
        <f t="shared" ca="1" si="74"/>
        <v>-29.79716173557506</v>
      </c>
      <c r="AA43" s="95">
        <f t="shared" ca="1" si="74"/>
        <v>60.519193704796976</v>
      </c>
      <c r="AB43" s="95">
        <f t="shared" ca="1" si="74"/>
        <v>38.066115576046599</v>
      </c>
      <c r="AC43" s="95">
        <f t="shared" ca="1" si="74"/>
        <v>148.11040631846441</v>
      </c>
      <c r="AD43" s="95">
        <f t="shared" ca="1" si="74"/>
        <v>383.03800376283266</v>
      </c>
      <c r="AE43" s="95">
        <f t="shared" ca="1" si="74"/>
        <v>237.57868433544195</v>
      </c>
      <c r="AF43" s="95">
        <f t="shared" ca="1" si="74"/>
        <v>238.70154814715301</v>
      </c>
      <c r="AG43" s="95">
        <f t="shared" ca="1" si="74"/>
        <v>239.80815349956663</v>
      </c>
      <c r="AH43" s="96">
        <f t="shared" ca="1" si="74"/>
        <v>240.89766967472144</v>
      </c>
      <c r="AI43" s="94">
        <f t="shared" ca="1" si="74"/>
        <v>241.9692447262658</v>
      </c>
      <c r="AJ43" s="95">
        <f t="shared" ca="1" si="74"/>
        <v>259.55991183285187</v>
      </c>
      <c r="AK43" s="95">
        <f t="shared" ca="1" si="74"/>
        <v>259.76135121281385</v>
      </c>
      <c r="AL43" s="95">
        <f t="shared" ca="1" si="74"/>
        <v>259.93225381797311</v>
      </c>
      <c r="AM43" s="95">
        <f t="shared" ca="1" si="74"/>
        <v>195.76537635672895</v>
      </c>
      <c r="AN43" s="95">
        <f t="shared" ca="1" si="74"/>
        <v>254.68387549162287</v>
      </c>
      <c r="AO43" s="95">
        <f t="shared" ca="1" si="74"/>
        <v>255.09894545782953</v>
      </c>
      <c r="AP43" s="95">
        <f t="shared" ca="1" si="74"/>
        <v>255.51538714174995</v>
      </c>
      <c r="AQ43" s="95">
        <f t="shared" ref="AQ43:BR43" ca="1" si="75">AQ41+AQ5</f>
        <v>255.93315648119244</v>
      </c>
      <c r="AR43" s="95">
        <f t="shared" ca="1" si="75"/>
        <v>256.35220835887696</v>
      </c>
      <c r="AS43" s="95">
        <f t="shared" ca="1" si="75"/>
        <v>256.77249658473147</v>
      </c>
      <c r="AT43" s="96">
        <f t="shared" ca="1" si="75"/>
        <v>257.19397387793123</v>
      </c>
      <c r="AU43" s="94">
        <f t="shared" ca="1" si="75"/>
        <v>257.61659184866147</v>
      </c>
      <c r="AV43" s="95">
        <f t="shared" ca="1" si="75"/>
        <v>258.04030097960447</v>
      </c>
      <c r="AW43" s="95">
        <f t="shared" ca="1" si="75"/>
        <v>258.46505060714304</v>
      </c>
      <c r="AX43" s="95">
        <f t="shared" ca="1" si="75"/>
        <v>261.89078890228666</v>
      </c>
      <c r="AY43" s="95">
        <f t="shared" ca="1" si="75"/>
        <v>259.32721285129855</v>
      </c>
      <c r="AZ43" s="95">
        <f t="shared" ca="1" si="75"/>
        <v>155.32121838079263</v>
      </c>
      <c r="BA43" s="95">
        <f t="shared" ca="1" si="75"/>
        <v>155.68417450855384</v>
      </c>
      <c r="BB43" s="95">
        <f t="shared" ca="1" si="75"/>
        <v>156.04724383973661</v>
      </c>
      <c r="BC43" s="95">
        <f t="shared" ca="1" si="75"/>
        <v>261.10366031317051</v>
      </c>
      <c r="BD43" s="95">
        <f t="shared" ca="1" si="75"/>
        <v>262.16032940080004</v>
      </c>
      <c r="BE43" s="95">
        <f t="shared" ca="1" si="75"/>
        <v>263.22542580169392</v>
      </c>
      <c r="BF43" s="96">
        <f t="shared" ca="1" si="75"/>
        <v>264.29900246183593</v>
      </c>
      <c r="BG43" s="94">
        <f t="shared" ca="1" si="75"/>
        <v>265.38111262816324</v>
      </c>
      <c r="BH43" s="95">
        <f t="shared" ca="1" si="75"/>
        <v>266.47180985019401</v>
      </c>
      <c r="BI43" s="95">
        <f t="shared" ca="1" si="75"/>
        <v>267.57114798165588</v>
      </c>
      <c r="BJ43" s="95">
        <f t="shared" ca="1" si="75"/>
        <v>268.67918118212793</v>
      </c>
      <c r="BK43" s="95">
        <f t="shared" ca="1" si="75"/>
        <v>269.79596391869245</v>
      </c>
      <c r="BL43" s="95">
        <f t="shared" ca="1" si="75"/>
        <v>270.92155096758745</v>
      </c>
      <c r="BM43" s="95">
        <f t="shared" ca="1" si="75"/>
        <v>281.05599741587832</v>
      </c>
      <c r="BN43" s="95">
        <f t="shared" ca="1" si="75"/>
        <v>273.22860866313221</v>
      </c>
      <c r="BO43" s="95">
        <f t="shared" ca="1" si="75"/>
        <v>274.38103548559775</v>
      </c>
      <c r="BP43" s="95">
        <f t="shared" ca="1" si="75"/>
        <v>275.54248915935591</v>
      </c>
      <c r="BQ43" s="95">
        <f t="shared" ca="1" si="75"/>
        <v>276.7130260326212</v>
      </c>
      <c r="BR43" s="96">
        <f t="shared" ca="1" si="75"/>
        <v>277.8927027728962</v>
      </c>
    </row>
    <row r="44" spans="1:70" s="93" customFormat="1" x14ac:dyDescent="0.3">
      <c r="A44" s="120"/>
      <c r="B44" s="135" t="s">
        <v>150</v>
      </c>
      <c r="E44" s="136">
        <f ca="1">SUM(K44:V44)</f>
        <v>15070.944281642462</v>
      </c>
      <c r="F44" s="136">
        <f ca="1">SUM(W44:AH44)</f>
        <v>1434.8173574857656</v>
      </c>
      <c r="G44" s="136">
        <f ca="1">SUM(AI44:AT44)</f>
        <v>-608.53818134056814</v>
      </c>
      <c r="H44" s="136">
        <f ca="1">SUM(AU44:BF44)</f>
        <v>-413.18099989557766</v>
      </c>
      <c r="I44" s="136">
        <f ca="1">SUM(BG44:BR44)</f>
        <v>-867.63462605790255</v>
      </c>
      <c r="K44" s="99">
        <f ca="1">IF(K43 &lt; OtherMinCash, OtherMinCash - K43, IF(J46 &gt; 0, -MIN(K43 - OtherMinCash, J46), 0))</f>
        <v>2358.137497165068</v>
      </c>
      <c r="L44" s="99">
        <f ca="1">IF(L43 &lt; OtherMinCash, OtherMinCash - L43, IF(K46 &gt; 0, -MIN(L43 - OtherMinCash, K46), 0))</f>
        <v>2257.890793646714</v>
      </c>
      <c r="M44" s="99">
        <f t="shared" ref="M44:AF44" ca="1" si="76">IF(M43 &lt; OtherMinCash, OtherMinCash - M43, IF(L46 &gt; 0, -MIN(M43 - OtherMinCash, L46), 0))</f>
        <v>2135.517371518662</v>
      </c>
      <c r="N44" s="99">
        <f t="shared" ca="1" si="76"/>
        <v>1460.4865049744531</v>
      </c>
      <c r="O44" s="99">
        <f t="shared" ca="1" si="76"/>
        <v>1128.8006581936302</v>
      </c>
      <c r="P44" s="99">
        <f t="shared" ca="1" si="76"/>
        <v>1161.8811959942034</v>
      </c>
      <c r="Q44" s="99">
        <f t="shared" ca="1" si="76"/>
        <v>971.59083287005444</v>
      </c>
      <c r="R44" s="99">
        <f t="shared" ca="1" si="76"/>
        <v>933.91987198821357</v>
      </c>
      <c r="S44" s="99">
        <f t="shared" ca="1" si="76"/>
        <v>777.17457640969701</v>
      </c>
      <c r="T44" s="99">
        <f t="shared" ca="1" si="76"/>
        <v>718.3172215837908</v>
      </c>
      <c r="U44" s="99">
        <f t="shared" ca="1" si="76"/>
        <v>641.85083452700064</v>
      </c>
      <c r="V44" s="136">
        <f t="shared" ca="1" si="76"/>
        <v>525.37692277097426</v>
      </c>
      <c r="W44" s="99">
        <f t="shared" ca="1" si="76"/>
        <v>479.98571523005648</v>
      </c>
      <c r="X44" s="99">
        <f t="shared" ca="1" si="76"/>
        <v>392.67758060469225</v>
      </c>
      <c r="Y44" s="99">
        <f t="shared" ca="1" si="76"/>
        <v>319.07667493446502</v>
      </c>
      <c r="Z44" s="99">
        <f t="shared" ca="1" si="76"/>
        <v>229.79716173557506</v>
      </c>
      <c r="AA44" s="99">
        <f t="shared" ca="1" si="76"/>
        <v>139.48080629520302</v>
      </c>
      <c r="AB44" s="99">
        <f t="shared" ca="1" si="76"/>
        <v>161.9338844239534</v>
      </c>
      <c r="AC44" s="99">
        <f t="shared" ca="1" si="76"/>
        <v>51.889593681535587</v>
      </c>
      <c r="AD44" s="99">
        <f t="shared" ca="1" si="76"/>
        <v>-183.03800376283266</v>
      </c>
      <c r="AE44" s="99">
        <f t="shared" ca="1" si="76"/>
        <v>-37.578684335441949</v>
      </c>
      <c r="AF44" s="99">
        <f t="shared" ca="1" si="76"/>
        <v>-38.701548147153005</v>
      </c>
      <c r="AG44" s="99">
        <f t="shared" ref="AG44" ca="1" si="77">IF(AG43 &lt; OtherMinCash, OtherMinCash - AG43, IF(AF46 &gt; 0, -MIN(AG43 - OtherMinCash, AF46), 0))</f>
        <v>-39.808153499566629</v>
      </c>
      <c r="AH44" s="136">
        <f t="shared" ref="AH44" ca="1" si="78">IF(AH43 &lt; OtherMinCash, OtherMinCash - AH43, IF(AG46 &gt; 0, -MIN(AH43 - OtherMinCash, AG46), 0))</f>
        <v>-40.897669674721442</v>
      </c>
      <c r="AI44" s="99">
        <f t="shared" ref="AI44" ca="1" si="79">IF(AI43 &lt; OtherMinCash, OtherMinCash - AI43, IF(AH46 &gt; 0, -MIN(AI43 - OtherMinCash, AH46), 0))</f>
        <v>-41.969244726265799</v>
      </c>
      <c r="AJ44" s="99">
        <f t="shared" ref="AJ44" ca="1" si="80">IF(AJ43 &lt; OtherMinCash, OtherMinCash - AJ43, IF(AI46 &gt; 0, -MIN(AJ43 - OtherMinCash, AI46), 0))</f>
        <v>-59.559911832851867</v>
      </c>
      <c r="AK44" s="99">
        <f t="shared" ref="AK44" ca="1" si="81">IF(AK43 &lt; OtherMinCash, OtherMinCash - AK43, IF(AJ46 &gt; 0, -MIN(AK43 - OtherMinCash, AJ46), 0))</f>
        <v>-59.76135121281385</v>
      </c>
      <c r="AL44" s="99">
        <f t="shared" ref="AL44" ca="1" si="82">IF(AL43 &lt; OtherMinCash, OtherMinCash - AL43, IF(AK46 &gt; 0, -MIN(AL43 - OtherMinCash, AK46), 0))</f>
        <v>-59.932253817973105</v>
      </c>
      <c r="AM44" s="99">
        <f t="shared" ref="AM44" ca="1" si="83">IF(AM43 &lt; OtherMinCash, OtherMinCash - AM43, IF(AL46 &gt; 0, -MIN(AM43 - OtherMinCash, AL46), 0))</f>
        <v>4.2346236432710498</v>
      </c>
      <c r="AN44" s="99">
        <f t="shared" ref="AN44" ca="1" si="84">IF(AN43 &lt; OtherMinCash, OtherMinCash - AN43, IF(AM46 &gt; 0, -MIN(AN43 - OtherMinCash, AM46), 0))</f>
        <v>-54.683875491622871</v>
      </c>
      <c r="AO44" s="99">
        <f t="shared" ref="AO44" ca="1" si="85">IF(AO43 &lt; OtherMinCash, OtherMinCash - AO43, IF(AN46 &gt; 0, -MIN(AO43 - OtherMinCash, AN46), 0))</f>
        <v>-55.098945457829529</v>
      </c>
      <c r="AP44" s="99">
        <f t="shared" ref="AP44" ca="1" si="86">IF(AP43 &lt; OtherMinCash, OtherMinCash - AP43, IF(AO46 &gt; 0, -MIN(AP43 - OtherMinCash, AO46), 0))</f>
        <v>-55.515387141749954</v>
      </c>
      <c r="AQ44" s="99">
        <f t="shared" ref="AQ44" ca="1" si="87">IF(AQ43 &lt; OtherMinCash, OtherMinCash - AQ43, IF(AP46 &gt; 0, -MIN(AQ43 - OtherMinCash, AP46), 0))</f>
        <v>-55.933156481192441</v>
      </c>
      <c r="AR44" s="99">
        <f t="shared" ref="AR44" ca="1" si="88">IF(AR43 &lt; OtherMinCash, OtherMinCash - AR43, IF(AQ46 &gt; 0, -MIN(AR43 - OtherMinCash, AQ46), 0))</f>
        <v>-56.352208358876965</v>
      </c>
      <c r="AS44" s="99">
        <f t="shared" ref="AS44" ca="1" si="89">IF(AS43 &lt; OtherMinCash, OtherMinCash - AS43, IF(AR46 &gt; 0, -MIN(AS43 - OtherMinCash, AR46), 0))</f>
        <v>-56.772496584731471</v>
      </c>
      <c r="AT44" s="136">
        <f t="shared" ref="AT44" ca="1" si="90">IF(AT43 &lt; OtherMinCash, OtherMinCash - AT43, IF(AS46 &gt; 0, -MIN(AT43 - OtherMinCash, AS46), 0))</f>
        <v>-57.193973877931228</v>
      </c>
      <c r="AU44" s="99">
        <f t="shared" ref="AU44" ca="1" si="91">IF(AU43 &lt; OtherMinCash, OtherMinCash - AU43, IF(AT46 &gt; 0, -MIN(AU43 - OtherMinCash, AT46), 0))</f>
        <v>-57.616591848661471</v>
      </c>
      <c r="AV44" s="99">
        <f t="shared" ref="AV44" ca="1" si="92">IF(AV43 &lt; OtherMinCash, OtherMinCash - AV43, IF(AU46 &gt; 0, -MIN(AV43 - OtherMinCash, AU46), 0))</f>
        <v>-58.040300979604467</v>
      </c>
      <c r="AW44" s="99">
        <f t="shared" ref="AW44" ca="1" si="93">IF(AW43 &lt; OtherMinCash, OtherMinCash - AW43, IF(AV46 &gt; 0, -MIN(AW43 - OtherMinCash, AV46), 0))</f>
        <v>-58.465050607143041</v>
      </c>
      <c r="AX44" s="99">
        <f t="shared" ref="AX44" ca="1" si="94">IF(AX43 &lt; OtherMinCash, OtherMinCash - AX43, IF(AW46 &gt; 0, -MIN(AX43 - OtherMinCash, AW46), 0))</f>
        <v>-61.890788902286658</v>
      </c>
      <c r="AY44" s="99">
        <f t="shared" ref="AY44" ca="1" si="95">IF(AY43 &lt; OtherMinCash, OtherMinCash - AY43, IF(AX46 &gt; 0, -MIN(AY43 - OtherMinCash, AX46), 0))</f>
        <v>-59.327212851298555</v>
      </c>
      <c r="AZ44" s="99">
        <f t="shared" ref="AZ44" ca="1" si="96">IF(AZ43 &lt; OtherMinCash, OtherMinCash - AZ43, IF(AY46 &gt; 0, -MIN(AZ43 - OtherMinCash, AY46), 0))</f>
        <v>44.678781619207371</v>
      </c>
      <c r="BA44" s="99">
        <f t="shared" ref="BA44" ca="1" si="97">IF(BA43 &lt; OtherMinCash, OtherMinCash - BA43, IF(AZ46 &gt; 0, -MIN(BA43 - OtherMinCash, AZ46), 0))</f>
        <v>44.315825491446162</v>
      </c>
      <c r="BB44" s="99">
        <f t="shared" ref="BB44" ca="1" si="98">IF(BB43 &lt; OtherMinCash, OtherMinCash - BB43, IF(BA46 &gt; 0, -MIN(BB43 - OtherMinCash, BA46), 0))</f>
        <v>43.952756160263391</v>
      </c>
      <c r="BC44" s="99">
        <f t="shared" ref="BC44" ca="1" si="99">IF(BC43 &lt; OtherMinCash, OtherMinCash - BC43, IF(BB46 &gt; 0, -MIN(BC43 - OtherMinCash, BB46), 0))</f>
        <v>-61.103660313170508</v>
      </c>
      <c r="BD44" s="99">
        <f t="shared" ref="BD44" ca="1" si="100">IF(BD43 &lt; OtherMinCash, OtherMinCash - BD43, IF(BC46 &gt; 0, -MIN(BD43 - OtherMinCash, BC46), 0))</f>
        <v>-62.160329400800038</v>
      </c>
      <c r="BE44" s="99">
        <f t="shared" ref="BE44" ca="1" si="101">IF(BE43 &lt; OtherMinCash, OtherMinCash - BE43, IF(BD46 &gt; 0, -MIN(BE43 - OtherMinCash, BD46), 0))</f>
        <v>-63.225425801693916</v>
      </c>
      <c r="BF44" s="136">
        <f t="shared" ref="BF44" ca="1" si="102">IF(BF43 &lt; OtherMinCash, OtherMinCash - BF43, IF(BE46 &gt; 0, -MIN(BF43 - OtherMinCash, BE46), 0))</f>
        <v>-64.299002461835926</v>
      </c>
      <c r="BG44" s="99">
        <f t="shared" ref="BG44" ca="1" si="103">IF(BG43 &lt; OtherMinCash, OtherMinCash - BG43, IF(BF46 &gt; 0, -MIN(BG43 - OtherMinCash, BF46), 0))</f>
        <v>-65.381112628163237</v>
      </c>
      <c r="BH44" s="99">
        <f t="shared" ref="BH44" ca="1" si="104">IF(BH43 &lt; OtherMinCash, OtherMinCash - BH43, IF(BG46 &gt; 0, -MIN(BH43 - OtherMinCash, BG46), 0))</f>
        <v>-66.471809850194006</v>
      </c>
      <c r="BI44" s="99">
        <f t="shared" ref="BI44" ca="1" si="105">IF(BI43 &lt; OtherMinCash, OtherMinCash - BI43, IF(BH46 &gt; 0, -MIN(BI43 - OtherMinCash, BH46), 0))</f>
        <v>-67.571147981655884</v>
      </c>
      <c r="BJ44" s="99">
        <f t="shared" ref="BJ44" ca="1" si="106">IF(BJ43 &lt; OtherMinCash, OtherMinCash - BJ43, IF(BI46 &gt; 0, -MIN(BJ43 - OtherMinCash, BI46), 0))</f>
        <v>-68.679181182127934</v>
      </c>
      <c r="BK44" s="99">
        <f t="shared" ref="BK44" ca="1" si="107">IF(BK43 &lt; OtherMinCash, OtherMinCash - BK43, IF(BJ46 &gt; 0, -MIN(BK43 - OtherMinCash, BJ46), 0))</f>
        <v>-69.795963918692451</v>
      </c>
      <c r="BL44" s="99">
        <f t="shared" ref="BL44" ca="1" si="108">IF(BL43 &lt; OtherMinCash, OtherMinCash - BL43, IF(BK46 &gt; 0, -MIN(BL43 - OtherMinCash, BK46), 0))</f>
        <v>-70.92155096758745</v>
      </c>
      <c r="BM44" s="99">
        <f t="shared" ref="BM44" ca="1" si="109">IF(BM43 &lt; OtherMinCash, OtherMinCash - BM43, IF(BL46 &gt; 0, -MIN(BM43 - OtherMinCash, BL46), 0))</f>
        <v>-81.055997415878323</v>
      </c>
      <c r="BN44" s="99">
        <f t="shared" ref="BN44" ca="1" si="110">IF(BN43 &lt; OtherMinCash, OtherMinCash - BN43, IF(BM46 &gt; 0, -MIN(BN43 - OtherMinCash, BM46), 0))</f>
        <v>-73.228608663132206</v>
      </c>
      <c r="BO44" s="99">
        <f t="shared" ref="BO44" ca="1" si="111">IF(BO43 &lt; OtherMinCash, OtherMinCash - BO43, IF(BN46 &gt; 0, -MIN(BO43 - OtherMinCash, BN46), 0))</f>
        <v>-74.381035485597749</v>
      </c>
      <c r="BP44" s="99">
        <f t="shared" ref="BP44" ca="1" si="112">IF(BP43 &lt; OtherMinCash, OtherMinCash - BP43, IF(BO46 &gt; 0, -MIN(BP43 - OtherMinCash, BO46), 0))</f>
        <v>-75.54248915935591</v>
      </c>
      <c r="BQ44" s="99">
        <f t="shared" ref="BQ44" ca="1" si="113">IF(BQ43 &lt; OtherMinCash, OtherMinCash - BQ43, IF(BP46 &gt; 0, -MIN(BQ43 - OtherMinCash, BP46), 0))</f>
        <v>-76.713026032621201</v>
      </c>
      <c r="BR44" s="136">
        <f t="shared" ref="BR44" ca="1" si="114">IF(BR43 &lt; OtherMinCash, OtherMinCash - BR43, IF(BQ46 &gt; 0, -MIN(BR43 - OtherMinCash, BQ46), 0))</f>
        <v>-77.8927027728962</v>
      </c>
    </row>
    <row r="45" spans="1:70" s="133" customFormat="1" x14ac:dyDescent="0.3">
      <c r="A45" s="120"/>
      <c r="B45" s="132" t="s">
        <v>151</v>
      </c>
      <c r="E45" s="102">
        <f ca="1">V45</f>
        <v>200</v>
      </c>
      <c r="F45" s="102">
        <f ca="1">AH45</f>
        <v>200</v>
      </c>
      <c r="G45" s="102">
        <f ca="1">AT45</f>
        <v>200</v>
      </c>
      <c r="H45" s="102">
        <f ca="1">BF45</f>
        <v>200</v>
      </c>
      <c r="I45" s="102">
        <f ca="1">BR45</f>
        <v>200</v>
      </c>
      <c r="K45" s="93">
        <f t="shared" ref="K45:AF45" ca="1" si="115">SUM(K43:K44)</f>
        <v>200</v>
      </c>
      <c r="L45" s="93">
        <f t="shared" ca="1" si="115"/>
        <v>200</v>
      </c>
      <c r="M45" s="93">
        <f t="shared" ca="1" si="115"/>
        <v>200</v>
      </c>
      <c r="N45" s="93">
        <f t="shared" ca="1" si="115"/>
        <v>200</v>
      </c>
      <c r="O45" s="93">
        <f t="shared" ca="1" si="115"/>
        <v>200</v>
      </c>
      <c r="P45" s="93">
        <f t="shared" ca="1" si="115"/>
        <v>200</v>
      </c>
      <c r="Q45" s="93">
        <f t="shared" ca="1" si="115"/>
        <v>200</v>
      </c>
      <c r="R45" s="93">
        <f t="shared" ca="1" si="115"/>
        <v>200</v>
      </c>
      <c r="S45" s="93">
        <f t="shared" ca="1" si="115"/>
        <v>200</v>
      </c>
      <c r="T45" s="93">
        <f t="shared" ca="1" si="115"/>
        <v>200</v>
      </c>
      <c r="U45" s="93">
        <f t="shared" ca="1" si="115"/>
        <v>200</v>
      </c>
      <c r="V45" s="102">
        <f t="shared" ca="1" si="115"/>
        <v>200</v>
      </c>
      <c r="W45" s="93">
        <f t="shared" ca="1" si="115"/>
        <v>200</v>
      </c>
      <c r="X45" s="93">
        <f t="shared" ca="1" si="115"/>
        <v>200</v>
      </c>
      <c r="Y45" s="93">
        <f t="shared" ca="1" si="115"/>
        <v>200</v>
      </c>
      <c r="Z45" s="93">
        <f t="shared" ca="1" si="115"/>
        <v>200</v>
      </c>
      <c r="AA45" s="93">
        <f t="shared" ca="1" si="115"/>
        <v>200</v>
      </c>
      <c r="AB45" s="93">
        <f t="shared" ca="1" si="115"/>
        <v>200</v>
      </c>
      <c r="AC45" s="93">
        <f t="shared" ca="1" si="115"/>
        <v>200</v>
      </c>
      <c r="AD45" s="93">
        <f t="shared" ca="1" si="115"/>
        <v>200</v>
      </c>
      <c r="AE45" s="93">
        <f t="shared" ca="1" si="115"/>
        <v>200</v>
      </c>
      <c r="AF45" s="93">
        <f t="shared" ca="1" si="115"/>
        <v>200</v>
      </c>
      <c r="AG45" s="93">
        <f t="shared" ref="AG45:BR45" ca="1" si="116">SUM(AG43:AG44)</f>
        <v>200</v>
      </c>
      <c r="AH45" s="102">
        <f t="shared" ca="1" si="116"/>
        <v>200</v>
      </c>
      <c r="AI45" s="93">
        <f t="shared" ca="1" si="116"/>
        <v>200</v>
      </c>
      <c r="AJ45" s="93">
        <f t="shared" ca="1" si="116"/>
        <v>200</v>
      </c>
      <c r="AK45" s="93">
        <f t="shared" ca="1" si="116"/>
        <v>200</v>
      </c>
      <c r="AL45" s="93">
        <f t="shared" ca="1" si="116"/>
        <v>200</v>
      </c>
      <c r="AM45" s="93">
        <f t="shared" ca="1" si="116"/>
        <v>200</v>
      </c>
      <c r="AN45" s="93">
        <f t="shared" ca="1" si="116"/>
        <v>200</v>
      </c>
      <c r="AO45" s="93">
        <f t="shared" ca="1" si="116"/>
        <v>200</v>
      </c>
      <c r="AP45" s="93">
        <f t="shared" ca="1" si="116"/>
        <v>200</v>
      </c>
      <c r="AQ45" s="93">
        <f t="shared" ca="1" si="116"/>
        <v>200</v>
      </c>
      <c r="AR45" s="93">
        <f t="shared" ca="1" si="116"/>
        <v>200</v>
      </c>
      <c r="AS45" s="93">
        <f t="shared" ca="1" si="116"/>
        <v>200</v>
      </c>
      <c r="AT45" s="102">
        <f t="shared" ca="1" si="116"/>
        <v>200</v>
      </c>
      <c r="AU45" s="93">
        <f t="shared" ca="1" si="116"/>
        <v>200</v>
      </c>
      <c r="AV45" s="93">
        <f t="shared" ca="1" si="116"/>
        <v>200</v>
      </c>
      <c r="AW45" s="93">
        <f t="shared" ca="1" si="116"/>
        <v>200</v>
      </c>
      <c r="AX45" s="93">
        <f t="shared" ca="1" si="116"/>
        <v>200</v>
      </c>
      <c r="AY45" s="93">
        <f t="shared" ca="1" si="116"/>
        <v>200</v>
      </c>
      <c r="AZ45" s="93">
        <f t="shared" ca="1" si="116"/>
        <v>200</v>
      </c>
      <c r="BA45" s="93">
        <f t="shared" ca="1" si="116"/>
        <v>200</v>
      </c>
      <c r="BB45" s="93">
        <f t="shared" ca="1" si="116"/>
        <v>200</v>
      </c>
      <c r="BC45" s="93">
        <f t="shared" ca="1" si="116"/>
        <v>200</v>
      </c>
      <c r="BD45" s="93">
        <f t="shared" ca="1" si="116"/>
        <v>200</v>
      </c>
      <c r="BE45" s="93">
        <f t="shared" ca="1" si="116"/>
        <v>200</v>
      </c>
      <c r="BF45" s="102">
        <f t="shared" ca="1" si="116"/>
        <v>200</v>
      </c>
      <c r="BG45" s="93">
        <f t="shared" ca="1" si="116"/>
        <v>200</v>
      </c>
      <c r="BH45" s="93">
        <f t="shared" ca="1" si="116"/>
        <v>200</v>
      </c>
      <c r="BI45" s="93">
        <f t="shared" ca="1" si="116"/>
        <v>200</v>
      </c>
      <c r="BJ45" s="93">
        <f t="shared" ca="1" si="116"/>
        <v>200</v>
      </c>
      <c r="BK45" s="93">
        <f t="shared" ca="1" si="116"/>
        <v>200</v>
      </c>
      <c r="BL45" s="93">
        <f t="shared" ca="1" si="116"/>
        <v>200</v>
      </c>
      <c r="BM45" s="93">
        <f t="shared" ca="1" si="116"/>
        <v>200</v>
      </c>
      <c r="BN45" s="93">
        <f t="shared" ca="1" si="116"/>
        <v>200</v>
      </c>
      <c r="BO45" s="93">
        <f t="shared" ca="1" si="116"/>
        <v>200</v>
      </c>
      <c r="BP45" s="93">
        <f t="shared" ca="1" si="116"/>
        <v>200</v>
      </c>
      <c r="BQ45" s="93">
        <f t="shared" ca="1" si="116"/>
        <v>200</v>
      </c>
      <c r="BR45" s="102">
        <f t="shared" ca="1" si="116"/>
        <v>200</v>
      </c>
    </row>
    <row r="46" spans="1:70" x14ac:dyDescent="0.3">
      <c r="A46" s="89"/>
      <c r="B46" s="259" t="s">
        <v>152</v>
      </c>
      <c r="E46" s="94">
        <f ca="1">V46</f>
        <v>15070.944281642462</v>
      </c>
      <c r="F46" s="94">
        <f ca="1">AH46</f>
        <v>16505.761639128224</v>
      </c>
      <c r="G46" s="94">
        <f ca="1">AT46</f>
        <v>15897.223457787659</v>
      </c>
      <c r="H46" s="94">
        <f ca="1">BF46</f>
        <v>15484.042457892081</v>
      </c>
      <c r="I46" s="94">
        <f ca="1">BR46</f>
        <v>14616.407831834178</v>
      </c>
      <c r="J46" s="105"/>
      <c r="K46" s="93">
        <f ca="1">K44</f>
        <v>2358.137497165068</v>
      </c>
      <c r="L46" s="93">
        <f ca="1">K46+L44</f>
        <v>4616.0282908117824</v>
      </c>
      <c r="M46" s="93">
        <f ca="1">L46+M44</f>
        <v>6751.5456623304444</v>
      </c>
      <c r="N46" s="93">
        <f t="shared" ref="N46:AF46" ca="1" si="117">M46+N44</f>
        <v>8212.0321673048966</v>
      </c>
      <c r="O46" s="93">
        <f t="shared" ca="1" si="117"/>
        <v>9340.8328254985263</v>
      </c>
      <c r="P46" s="93">
        <f t="shared" ca="1" si="117"/>
        <v>10502.714021492729</v>
      </c>
      <c r="Q46" s="93">
        <f t="shared" ca="1" si="117"/>
        <v>11474.304854362785</v>
      </c>
      <c r="R46" s="93">
        <f t="shared" ca="1" si="117"/>
        <v>12408.224726350998</v>
      </c>
      <c r="S46" s="93">
        <f t="shared" ca="1" si="117"/>
        <v>13185.399302760696</v>
      </c>
      <c r="T46" s="93">
        <f ca="1">S46+T44</f>
        <v>13903.716524344487</v>
      </c>
      <c r="U46" s="93">
        <f t="shared" ca="1" si="117"/>
        <v>14545.567358871487</v>
      </c>
      <c r="V46" s="102">
        <f t="shared" ca="1" si="117"/>
        <v>15070.944281642462</v>
      </c>
      <c r="W46" s="93">
        <f t="shared" ca="1" si="117"/>
        <v>15550.929996872517</v>
      </c>
      <c r="X46" s="93">
        <f t="shared" ca="1" si="117"/>
        <v>15943.607577477209</v>
      </c>
      <c r="Y46" s="93">
        <f t="shared" ca="1" si="117"/>
        <v>16262.684252411675</v>
      </c>
      <c r="Z46" s="93">
        <f t="shared" ca="1" si="117"/>
        <v>16492.481414147249</v>
      </c>
      <c r="AA46" s="93">
        <f t="shared" ca="1" si="117"/>
        <v>16631.962220442452</v>
      </c>
      <c r="AB46" s="93">
        <f t="shared" ca="1" si="117"/>
        <v>16793.896104866406</v>
      </c>
      <c r="AC46" s="93">
        <f t="shared" ca="1" si="117"/>
        <v>16845.785698547941</v>
      </c>
      <c r="AD46" s="93">
        <f t="shared" ca="1" si="117"/>
        <v>16662.74769478511</v>
      </c>
      <c r="AE46" s="93">
        <f t="shared" ca="1" si="117"/>
        <v>16625.169010449667</v>
      </c>
      <c r="AF46" s="93">
        <f t="shared" ca="1" si="117"/>
        <v>16586.467462302513</v>
      </c>
      <c r="AG46" s="93">
        <f t="shared" ref="AG46" ca="1" si="118">AF46+AG44</f>
        <v>16546.659308802948</v>
      </c>
      <c r="AH46" s="102">
        <f t="shared" ref="AH46" ca="1" si="119">AG46+AH44</f>
        <v>16505.761639128224</v>
      </c>
      <c r="AI46" s="93">
        <f t="shared" ref="AI46" ca="1" si="120">AH46+AI44</f>
        <v>16463.79239440196</v>
      </c>
      <c r="AJ46" s="93">
        <f t="shared" ref="AJ46" ca="1" si="121">AI46+AJ44</f>
        <v>16404.23248256911</v>
      </c>
      <c r="AK46" s="93">
        <f t="shared" ref="AK46" ca="1" si="122">AJ46+AK44</f>
        <v>16344.471131356297</v>
      </c>
      <c r="AL46" s="93">
        <f t="shared" ref="AL46" ca="1" si="123">AK46+AL44</f>
        <v>16284.538877538324</v>
      </c>
      <c r="AM46" s="93">
        <f t="shared" ref="AM46" ca="1" si="124">AL46+AM44</f>
        <v>16288.773501181595</v>
      </c>
      <c r="AN46" s="93">
        <f t="shared" ref="AN46" ca="1" si="125">AM46+AN44</f>
        <v>16234.089625689972</v>
      </c>
      <c r="AO46" s="93">
        <f t="shared" ref="AO46" ca="1" si="126">AN46+AO44</f>
        <v>16178.990680232142</v>
      </c>
      <c r="AP46" s="93">
        <f t="shared" ref="AP46" ca="1" si="127">AO46+AP44</f>
        <v>16123.475293090392</v>
      </c>
      <c r="AQ46" s="93">
        <f t="shared" ref="AQ46" ca="1" si="128">AP46+AQ44</f>
        <v>16067.5421366092</v>
      </c>
      <c r="AR46" s="93">
        <f t="shared" ref="AR46" ca="1" si="129">AQ46+AR44</f>
        <v>16011.189928250322</v>
      </c>
      <c r="AS46" s="93">
        <f t="shared" ref="AS46" ca="1" si="130">AR46+AS44</f>
        <v>15954.41743166559</v>
      </c>
      <c r="AT46" s="102">
        <f t="shared" ref="AT46" ca="1" si="131">AS46+AT44</f>
        <v>15897.223457787659</v>
      </c>
      <c r="AU46" s="93">
        <f t="shared" ref="AU46" ca="1" si="132">AT46+AU44</f>
        <v>15839.606865938997</v>
      </c>
      <c r="AV46" s="93">
        <f t="shared" ref="AV46" ca="1" si="133">AU46+AV44</f>
        <v>15781.566564959392</v>
      </c>
      <c r="AW46" s="93">
        <f t="shared" ref="AW46" ca="1" si="134">AV46+AW44</f>
        <v>15723.101514352249</v>
      </c>
      <c r="AX46" s="93">
        <f t="shared" ref="AX46" ca="1" si="135">AW46+AX44</f>
        <v>15661.210725449962</v>
      </c>
      <c r="AY46" s="93">
        <f t="shared" ref="AY46" ca="1" si="136">AX46+AY44</f>
        <v>15601.883512598664</v>
      </c>
      <c r="AZ46" s="93">
        <f t="shared" ref="AZ46" ca="1" si="137">AY46+AZ44</f>
        <v>15646.562294217872</v>
      </c>
      <c r="BA46" s="93">
        <f t="shared" ref="BA46" ca="1" si="138">AZ46+BA44</f>
        <v>15690.878119709319</v>
      </c>
      <c r="BB46" s="93">
        <f t="shared" ref="BB46" ca="1" si="139">BA46+BB44</f>
        <v>15734.830875869582</v>
      </c>
      <c r="BC46" s="93">
        <f t="shared" ref="BC46" ca="1" si="140">BB46+BC44</f>
        <v>15673.727215556411</v>
      </c>
      <c r="BD46" s="93">
        <f t="shared" ref="BD46" ca="1" si="141">BC46+BD44</f>
        <v>15611.566886155611</v>
      </c>
      <c r="BE46" s="93">
        <f t="shared" ref="BE46" ca="1" si="142">BD46+BE44</f>
        <v>15548.341460353917</v>
      </c>
      <c r="BF46" s="102">
        <f t="shared" ref="BF46" ca="1" si="143">BE46+BF44</f>
        <v>15484.042457892081</v>
      </c>
      <c r="BG46" s="93">
        <f t="shared" ref="BG46" ca="1" si="144">BF46+BG44</f>
        <v>15418.661345263918</v>
      </c>
      <c r="BH46" s="93">
        <f t="shared" ref="BH46" ca="1" si="145">BG46+BH44</f>
        <v>15352.189535413723</v>
      </c>
      <c r="BI46" s="93">
        <f t="shared" ref="BI46" ca="1" si="146">BH46+BI44</f>
        <v>15284.618387432067</v>
      </c>
      <c r="BJ46" s="93">
        <f t="shared" ref="BJ46" ca="1" si="147">BI46+BJ44</f>
        <v>15215.939206249939</v>
      </c>
      <c r="BK46" s="93">
        <f t="shared" ref="BK46" ca="1" si="148">BJ46+BK44</f>
        <v>15146.143242331247</v>
      </c>
      <c r="BL46" s="93">
        <f t="shared" ref="BL46" ca="1" si="149">BK46+BL44</f>
        <v>15075.22169136366</v>
      </c>
      <c r="BM46" s="93">
        <f t="shared" ref="BM46" ca="1" si="150">BL46+BM44</f>
        <v>14994.165693947782</v>
      </c>
      <c r="BN46" s="93">
        <f t="shared" ref="BN46" ca="1" si="151">BM46+BN44</f>
        <v>14920.93708528465</v>
      </c>
      <c r="BO46" s="93">
        <f t="shared" ref="BO46" ca="1" si="152">BN46+BO44</f>
        <v>14846.556049799052</v>
      </c>
      <c r="BP46" s="93">
        <f t="shared" ref="BP46" ca="1" si="153">BO46+BP44</f>
        <v>14771.013560639696</v>
      </c>
      <c r="BQ46" s="93">
        <f t="shared" ref="BQ46" ca="1" si="154">BP46+BQ44</f>
        <v>14694.300534607075</v>
      </c>
      <c r="BR46" s="102">
        <f t="shared" ref="BR46" ca="1" si="155">BQ46+BR44</f>
        <v>14616.407831834178</v>
      </c>
    </row>
  </sheetData>
  <sheetProtection algorithmName="SHA-512" hashValue="2yV7Y/Uz746gmbGbez2ZYeVENn60a1cUJtm/v/YrDRvkCTgHsgPpzSVlozr+ouKYHn4sdUk1KGOMsLIMPExEDQ==" saltValue="mfl2hix4K+HtPkqhg19iEQ==" spinCount="100000" sheet="1" objects="1" scenarios="1" selectLockedCells="1" selectUnlockedCells="1"/>
  <printOptions horizontalCentered="1"/>
  <pageMargins left="0.5" right="0.5" top="0.75" bottom="0.5" header="0.3" footer="0.55000000000000004"/>
  <pageSetup fitToWidth="5" orientation="landscape" r:id="rId1"/>
  <headerFooter scaleWithDoc="0" alignWithMargins="0">
    <oddFooter>&amp;L&amp;10Credit Facility, p.&amp;P of &amp;N&amp;R&amp;10Updated &amp;D</oddFooter>
  </headerFooter>
  <colBreaks count="4" manualBreakCount="4">
    <brk id="22" min="4" max="45" man="1"/>
    <brk id="34" min="4" max="45" man="1"/>
    <brk id="46" min="4" max="45" man="1"/>
    <brk id="58" min="4" max="45" man="1"/>
  </colBreaks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BF987-CBB6-4E9A-A24F-3EF14B69121B}">
  <sheetPr>
    <tabColor rgb="FFFECECE"/>
    <pageSetUpPr fitToPage="1"/>
  </sheetPr>
  <dimension ref="A1:BR56"/>
  <sheetViews>
    <sheetView showGridLines="0" showRowColHeaders="0" showZeros="0" zoomScaleNormal="100" zoomScaleSheetLayoutView="85" workbookViewId="0">
      <pane xSplit="3" ySplit="3" topLeftCell="D4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RowHeight="14.4" x14ac:dyDescent="0.3"/>
  <cols>
    <col min="1" max="1" width="3" style="109" customWidth="1"/>
    <col min="2" max="2" width="21.6640625" style="322" customWidth="1"/>
    <col min="3" max="3" width="0.6640625" style="322" customWidth="1"/>
    <col min="4" max="4" width="0.6640625" style="105" customWidth="1"/>
    <col min="5" max="9" width="8.33203125" style="322" customWidth="1"/>
    <col min="10" max="10" width="2.21875" style="322" customWidth="1"/>
    <col min="11" max="70" width="8.33203125" style="322" customWidth="1"/>
    <col min="71" max="16384" width="8.88671875" style="322"/>
  </cols>
  <sheetData>
    <row r="1" spans="1:70" s="6" customFormat="1" ht="10.199999999999999" x14ac:dyDescent="0.2">
      <c r="A1" s="1" t="s">
        <v>0</v>
      </c>
      <c r="B1" s="89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</row>
    <row r="2" spans="1:70" s="5" customFormat="1" ht="22.8" customHeight="1" x14ac:dyDescent="0.3">
      <c r="A2" s="109"/>
      <c r="B2" s="4"/>
    </row>
    <row r="3" spans="1:70" s="111" customFormat="1" ht="21" x14ac:dyDescent="0.4">
      <c r="B3" s="110" t="s">
        <v>244</v>
      </c>
      <c r="C3" s="186"/>
      <c r="D3" s="186"/>
      <c r="E3" s="165">
        <v>1</v>
      </c>
      <c r="F3" s="165">
        <v>2</v>
      </c>
      <c r="G3" s="165">
        <v>3</v>
      </c>
      <c r="H3" s="165">
        <v>4</v>
      </c>
      <c r="I3" s="165">
        <v>5</v>
      </c>
      <c r="J3" s="187"/>
      <c r="K3" s="166">
        <v>1</v>
      </c>
      <c r="L3" s="166">
        <v>2</v>
      </c>
      <c r="M3" s="166">
        <v>3</v>
      </c>
      <c r="N3" s="166">
        <v>4</v>
      </c>
      <c r="O3" s="166">
        <v>5</v>
      </c>
      <c r="P3" s="166">
        <v>6</v>
      </c>
      <c r="Q3" s="166">
        <v>7</v>
      </c>
      <c r="R3" s="166">
        <v>8</v>
      </c>
      <c r="S3" s="166">
        <v>9</v>
      </c>
      <c r="T3" s="166">
        <v>10</v>
      </c>
      <c r="U3" s="166">
        <v>11</v>
      </c>
      <c r="V3" s="167">
        <v>12</v>
      </c>
      <c r="W3" s="166">
        <v>13</v>
      </c>
      <c r="X3" s="166">
        <v>14</v>
      </c>
      <c r="Y3" s="166">
        <v>15</v>
      </c>
      <c r="Z3" s="166">
        <v>16</v>
      </c>
      <c r="AA3" s="166">
        <v>17</v>
      </c>
      <c r="AB3" s="166">
        <v>18</v>
      </c>
      <c r="AC3" s="166">
        <v>19</v>
      </c>
      <c r="AD3" s="166">
        <v>20</v>
      </c>
      <c r="AE3" s="166">
        <v>21</v>
      </c>
      <c r="AF3" s="166">
        <v>22</v>
      </c>
      <c r="AG3" s="166">
        <v>23</v>
      </c>
      <c r="AH3" s="167">
        <v>24</v>
      </c>
      <c r="AI3" s="166">
        <v>25</v>
      </c>
      <c r="AJ3" s="166">
        <v>26</v>
      </c>
      <c r="AK3" s="166">
        <v>27</v>
      </c>
      <c r="AL3" s="166">
        <v>28</v>
      </c>
      <c r="AM3" s="166">
        <v>29</v>
      </c>
      <c r="AN3" s="166">
        <v>30</v>
      </c>
      <c r="AO3" s="166">
        <v>31</v>
      </c>
      <c r="AP3" s="166">
        <v>32</v>
      </c>
      <c r="AQ3" s="166">
        <v>33</v>
      </c>
      <c r="AR3" s="166">
        <v>34</v>
      </c>
      <c r="AS3" s="166">
        <v>35</v>
      </c>
      <c r="AT3" s="167">
        <v>36</v>
      </c>
      <c r="AU3" s="166">
        <v>37</v>
      </c>
      <c r="AV3" s="166">
        <v>38</v>
      </c>
      <c r="AW3" s="166">
        <v>39</v>
      </c>
      <c r="AX3" s="166">
        <v>40</v>
      </c>
      <c r="AY3" s="166">
        <v>41</v>
      </c>
      <c r="AZ3" s="166">
        <v>42</v>
      </c>
      <c r="BA3" s="166">
        <v>43</v>
      </c>
      <c r="BB3" s="166">
        <v>44</v>
      </c>
      <c r="BC3" s="166">
        <v>45</v>
      </c>
      <c r="BD3" s="166">
        <v>46</v>
      </c>
      <c r="BE3" s="166">
        <v>47</v>
      </c>
      <c r="BF3" s="167">
        <v>48</v>
      </c>
      <c r="BG3" s="166">
        <v>49</v>
      </c>
      <c r="BH3" s="166">
        <v>50</v>
      </c>
      <c r="BI3" s="166">
        <v>51</v>
      </c>
      <c r="BJ3" s="166">
        <v>52</v>
      </c>
      <c r="BK3" s="166">
        <v>53</v>
      </c>
      <c r="BL3" s="166">
        <v>54</v>
      </c>
      <c r="BM3" s="166">
        <v>55</v>
      </c>
      <c r="BN3" s="166">
        <v>56</v>
      </c>
      <c r="BO3" s="166">
        <v>57</v>
      </c>
      <c r="BP3" s="166">
        <v>58</v>
      </c>
      <c r="BQ3" s="166">
        <v>59</v>
      </c>
      <c r="BR3" s="167">
        <v>60</v>
      </c>
    </row>
    <row r="4" spans="1:70" s="5" customFormat="1" ht="6" customHeight="1" x14ac:dyDescent="0.3">
      <c r="A4" s="109"/>
      <c r="B4" s="4"/>
    </row>
    <row r="5" spans="1:70" x14ac:dyDescent="0.3">
      <c r="A5" s="14"/>
      <c r="B5" s="159" t="s">
        <v>47</v>
      </c>
      <c r="C5" s="185"/>
      <c r="D5" s="93"/>
      <c r="E5" s="237">
        <f t="shared" ref="E5:E11" si="0">SUM(K5:V5)</f>
        <v>250</v>
      </c>
      <c r="F5" s="237">
        <f t="shared" ref="F5:F11" si="1">SUM(W5:AH5)</f>
        <v>0</v>
      </c>
      <c r="G5" s="237">
        <f t="shared" ref="G5:G11" si="2">SUM(AI5:AT5)</f>
        <v>0</v>
      </c>
      <c r="H5" s="237">
        <f t="shared" ref="H5:H11" si="3">SUM(AU5:BF5)</f>
        <v>0</v>
      </c>
      <c r="I5" s="237">
        <f t="shared" ref="I5:I11" si="4">SUM(BG5:BR5)</f>
        <v>0</v>
      </c>
      <c r="J5" s="238"/>
      <c r="K5" s="117" cm="1">
        <f t="array" ref="K5">SUMPRODUCT(($B5=CapexCategory)*(K$3=CapexMonth)*CapexAmount)</f>
        <v>0</v>
      </c>
      <c r="L5" s="239" cm="1">
        <f t="array" ref="L5">SUMPRODUCT(($B5=CapexCategory)*(L$3=CapexMonth)*CapexAmount)</f>
        <v>0</v>
      </c>
      <c r="M5" s="239" cm="1">
        <f t="array" ref="M5">SUMPRODUCT(($B5=CapexCategory)*(M$3=CapexMonth)*CapexAmount)</f>
        <v>0</v>
      </c>
      <c r="N5" s="239" cm="1">
        <f t="array" ref="N5">SUMPRODUCT(($B5=CapexCategory)*(N$3=CapexMonth)*CapexAmount)</f>
        <v>250</v>
      </c>
      <c r="O5" s="239" cm="1">
        <f t="array" ref="O5">SUMPRODUCT(($B5=CapexCategory)*(O$3=CapexMonth)*CapexAmount)</f>
        <v>0</v>
      </c>
      <c r="P5" s="239" cm="1">
        <f t="array" ref="P5">SUMPRODUCT(($B5=CapexCategory)*(P$3=CapexMonth)*CapexAmount)</f>
        <v>0</v>
      </c>
      <c r="Q5" s="239" cm="1">
        <f t="array" ref="Q5">SUMPRODUCT(($B5=CapexCategory)*(Q$3=CapexMonth)*CapexAmount)</f>
        <v>0</v>
      </c>
      <c r="R5" s="239" cm="1">
        <f t="array" ref="R5">SUMPRODUCT(($B5=CapexCategory)*(R$3=CapexMonth)*CapexAmount)</f>
        <v>0</v>
      </c>
      <c r="S5" s="239" cm="1">
        <f t="array" ref="S5">SUMPRODUCT(($B5=CapexCategory)*(S$3=CapexMonth)*CapexAmount)</f>
        <v>0</v>
      </c>
      <c r="T5" s="239" cm="1">
        <f t="array" ref="T5">SUMPRODUCT(($B5=CapexCategory)*(T$3=CapexMonth)*CapexAmount)</f>
        <v>0</v>
      </c>
      <c r="U5" s="239" cm="1">
        <f t="array" ref="U5">SUMPRODUCT(($B5=CapexCategory)*(U$3=CapexMonth)*CapexAmount)</f>
        <v>0</v>
      </c>
      <c r="V5" s="237" cm="1">
        <f t="array" ref="V5">SUMPRODUCT(($B5=CapexCategory)*(V$3=CapexMonth)*CapexAmount)</f>
        <v>0</v>
      </c>
      <c r="W5" s="117" cm="1">
        <f t="array" ref="W5">SUMPRODUCT(($B5=CapexCategory)*(W$3=CapexMonth)*CapexAmount)</f>
        <v>0</v>
      </c>
      <c r="X5" s="239" cm="1">
        <f t="array" ref="X5">SUMPRODUCT(($B5=CapexCategory)*(X$3=CapexMonth)*CapexAmount)</f>
        <v>0</v>
      </c>
      <c r="Y5" s="239" cm="1">
        <f t="array" ref="Y5">SUMPRODUCT(($B5=CapexCategory)*(Y$3=CapexMonth)*CapexAmount)</f>
        <v>0</v>
      </c>
      <c r="Z5" s="239" cm="1">
        <f t="array" ref="Z5">SUMPRODUCT(($B5=CapexCategory)*(Z$3=CapexMonth)*CapexAmount)</f>
        <v>0</v>
      </c>
      <c r="AA5" s="239" cm="1">
        <f t="array" ref="AA5">SUMPRODUCT(($B5=CapexCategory)*(AA$3=CapexMonth)*CapexAmount)</f>
        <v>0</v>
      </c>
      <c r="AB5" s="239" cm="1">
        <f t="array" ref="AB5">SUMPRODUCT(($B5=CapexCategory)*(AB$3=CapexMonth)*CapexAmount)</f>
        <v>0</v>
      </c>
      <c r="AC5" s="239" cm="1">
        <f t="array" ref="AC5">SUMPRODUCT(($B5=CapexCategory)*(AC$3=CapexMonth)*CapexAmount)</f>
        <v>0</v>
      </c>
      <c r="AD5" s="239" cm="1">
        <f t="array" ref="AD5">SUMPRODUCT(($B5=CapexCategory)*(AD$3=CapexMonth)*CapexAmount)</f>
        <v>0</v>
      </c>
      <c r="AE5" s="239" cm="1">
        <f t="array" ref="AE5">SUMPRODUCT(($B5=CapexCategory)*(AE$3=CapexMonth)*CapexAmount)</f>
        <v>0</v>
      </c>
      <c r="AF5" s="239" cm="1">
        <f t="array" ref="AF5">SUMPRODUCT(($B5=CapexCategory)*(AF$3=CapexMonth)*CapexAmount)</f>
        <v>0</v>
      </c>
      <c r="AG5" s="239" cm="1">
        <f t="array" ref="AG5">SUMPRODUCT(($B5=CapexCategory)*(AG$3=CapexMonth)*CapexAmount)</f>
        <v>0</v>
      </c>
      <c r="AH5" s="237" cm="1">
        <f t="array" ref="AH5">SUMPRODUCT(($B5=CapexCategory)*(AH$3=CapexMonth)*CapexAmount)</f>
        <v>0</v>
      </c>
      <c r="AI5" s="117" cm="1">
        <f t="array" ref="AI5">SUMPRODUCT(($B5=CapexCategory)*(AI$3=CapexMonth)*CapexAmount)</f>
        <v>0</v>
      </c>
      <c r="AJ5" s="239" cm="1">
        <f t="array" ref="AJ5">SUMPRODUCT(($B5=CapexCategory)*(AJ$3=CapexMonth)*CapexAmount)</f>
        <v>0</v>
      </c>
      <c r="AK5" s="239" cm="1">
        <f t="array" ref="AK5">SUMPRODUCT(($B5=CapexCategory)*(AK$3=CapexMonth)*CapexAmount)</f>
        <v>0</v>
      </c>
      <c r="AL5" s="239" cm="1">
        <f t="array" ref="AL5">SUMPRODUCT(($B5=CapexCategory)*(AL$3=CapexMonth)*CapexAmount)</f>
        <v>0</v>
      </c>
      <c r="AM5" s="239" cm="1">
        <f t="array" ref="AM5">SUMPRODUCT(($B5=CapexCategory)*(AM$3=CapexMonth)*CapexAmount)</f>
        <v>0</v>
      </c>
      <c r="AN5" s="239" cm="1">
        <f t="array" ref="AN5">SUMPRODUCT(($B5=CapexCategory)*(AN$3=CapexMonth)*CapexAmount)</f>
        <v>0</v>
      </c>
      <c r="AO5" s="239" cm="1">
        <f t="array" ref="AO5">SUMPRODUCT(($B5=CapexCategory)*(AO$3=CapexMonth)*CapexAmount)</f>
        <v>0</v>
      </c>
      <c r="AP5" s="239" cm="1">
        <f t="array" ref="AP5">SUMPRODUCT(($B5=CapexCategory)*(AP$3=CapexMonth)*CapexAmount)</f>
        <v>0</v>
      </c>
      <c r="AQ5" s="239" cm="1">
        <f t="array" ref="AQ5">SUMPRODUCT(($B5=CapexCategory)*(AQ$3=CapexMonth)*CapexAmount)</f>
        <v>0</v>
      </c>
      <c r="AR5" s="239" cm="1">
        <f t="array" ref="AR5">SUMPRODUCT(($B5=CapexCategory)*(AR$3=CapexMonth)*CapexAmount)</f>
        <v>0</v>
      </c>
      <c r="AS5" s="239" cm="1">
        <f t="array" ref="AS5">SUMPRODUCT(($B5=CapexCategory)*(AS$3=CapexMonth)*CapexAmount)</f>
        <v>0</v>
      </c>
      <c r="AT5" s="237" cm="1">
        <f t="array" ref="AT5">SUMPRODUCT(($B5=CapexCategory)*(AT$3=CapexMonth)*CapexAmount)</f>
        <v>0</v>
      </c>
      <c r="AU5" s="117" cm="1">
        <f t="array" ref="AU5">SUMPRODUCT(($B5=CapexCategory)*(AU$3=CapexMonth)*CapexAmount)</f>
        <v>0</v>
      </c>
      <c r="AV5" s="239" cm="1">
        <f t="array" ref="AV5">SUMPRODUCT(($B5=CapexCategory)*(AV$3=CapexMonth)*CapexAmount)</f>
        <v>0</v>
      </c>
      <c r="AW5" s="239" cm="1">
        <f t="array" ref="AW5">SUMPRODUCT(($B5=CapexCategory)*(AW$3=CapexMonth)*CapexAmount)</f>
        <v>0</v>
      </c>
      <c r="AX5" s="239" cm="1">
        <f t="array" ref="AX5">SUMPRODUCT(($B5=CapexCategory)*(AX$3=CapexMonth)*CapexAmount)</f>
        <v>0</v>
      </c>
      <c r="AY5" s="239" cm="1">
        <f t="array" ref="AY5">SUMPRODUCT(($B5=CapexCategory)*(AY$3=CapexMonth)*CapexAmount)</f>
        <v>0</v>
      </c>
      <c r="AZ5" s="239" cm="1">
        <f t="array" ref="AZ5">SUMPRODUCT(($B5=CapexCategory)*(AZ$3=CapexMonth)*CapexAmount)</f>
        <v>0</v>
      </c>
      <c r="BA5" s="239" cm="1">
        <f t="array" ref="BA5">SUMPRODUCT(($B5=CapexCategory)*(BA$3=CapexMonth)*CapexAmount)</f>
        <v>0</v>
      </c>
      <c r="BB5" s="239" cm="1">
        <f t="array" ref="BB5">SUMPRODUCT(($B5=CapexCategory)*(BB$3=CapexMonth)*CapexAmount)</f>
        <v>0</v>
      </c>
      <c r="BC5" s="239" cm="1">
        <f t="array" ref="BC5">SUMPRODUCT(($B5=CapexCategory)*(BC$3=CapexMonth)*CapexAmount)</f>
        <v>0</v>
      </c>
      <c r="BD5" s="239" cm="1">
        <f t="array" ref="BD5">SUMPRODUCT(($B5=CapexCategory)*(BD$3=CapexMonth)*CapexAmount)</f>
        <v>0</v>
      </c>
      <c r="BE5" s="239" cm="1">
        <f t="array" ref="BE5">SUMPRODUCT(($B5=CapexCategory)*(BE$3=CapexMonth)*CapexAmount)</f>
        <v>0</v>
      </c>
      <c r="BF5" s="237" cm="1">
        <f t="array" ref="BF5">SUMPRODUCT(($B5=CapexCategory)*(BF$3=CapexMonth)*CapexAmount)</f>
        <v>0</v>
      </c>
      <c r="BG5" s="117" cm="1">
        <f t="array" ref="BG5">SUMPRODUCT(($B5=CapexCategory)*(BG$3=CapexMonth)*CapexAmount)</f>
        <v>0</v>
      </c>
      <c r="BH5" s="239" cm="1">
        <f t="array" ref="BH5">SUMPRODUCT(($B5=CapexCategory)*(BH$3=CapexMonth)*CapexAmount)</f>
        <v>0</v>
      </c>
      <c r="BI5" s="239" cm="1">
        <f t="array" ref="BI5">SUMPRODUCT(($B5=CapexCategory)*(BI$3=CapexMonth)*CapexAmount)</f>
        <v>0</v>
      </c>
      <c r="BJ5" s="239" cm="1">
        <f t="array" ref="BJ5">SUMPRODUCT(($B5=CapexCategory)*(BJ$3=CapexMonth)*CapexAmount)</f>
        <v>0</v>
      </c>
      <c r="BK5" s="239" cm="1">
        <f t="array" ref="BK5">SUMPRODUCT(($B5=CapexCategory)*(BK$3=CapexMonth)*CapexAmount)</f>
        <v>0</v>
      </c>
      <c r="BL5" s="239" cm="1">
        <f t="array" ref="BL5">SUMPRODUCT(($B5=CapexCategory)*(BL$3=CapexMonth)*CapexAmount)</f>
        <v>0</v>
      </c>
      <c r="BM5" s="239" cm="1">
        <f t="array" ref="BM5">SUMPRODUCT(($B5=CapexCategory)*(BM$3=CapexMonth)*CapexAmount)</f>
        <v>0</v>
      </c>
      <c r="BN5" s="239" cm="1">
        <f t="array" ref="BN5">SUMPRODUCT(($B5=CapexCategory)*(BN$3=CapexMonth)*CapexAmount)</f>
        <v>0</v>
      </c>
      <c r="BO5" s="239" cm="1">
        <f t="array" ref="BO5">SUMPRODUCT(($B5=CapexCategory)*(BO$3=CapexMonth)*CapexAmount)</f>
        <v>0</v>
      </c>
      <c r="BP5" s="239" cm="1">
        <f t="array" ref="BP5">SUMPRODUCT(($B5=CapexCategory)*(BP$3=CapexMonth)*CapexAmount)</f>
        <v>0</v>
      </c>
      <c r="BQ5" s="239" cm="1">
        <f t="array" ref="BQ5">SUMPRODUCT(($B5=CapexCategory)*(BQ$3=CapexMonth)*CapexAmount)</f>
        <v>0</v>
      </c>
      <c r="BR5" s="237" cm="1">
        <f t="array" ref="BR5">SUMPRODUCT(($B5=CapexCategory)*(BR$3=CapexMonth)*CapexAmount)</f>
        <v>0</v>
      </c>
    </row>
    <row r="6" spans="1:70" x14ac:dyDescent="0.3">
      <c r="A6" s="14"/>
      <c r="B6" s="159" t="s">
        <v>51</v>
      </c>
      <c r="C6" s="185"/>
      <c r="D6" s="93"/>
      <c r="E6" s="237">
        <f t="shared" si="0"/>
        <v>40</v>
      </c>
      <c r="F6" s="237">
        <f t="shared" si="1"/>
        <v>0</v>
      </c>
      <c r="G6" s="237">
        <f t="shared" si="2"/>
        <v>0</v>
      </c>
      <c r="H6" s="237">
        <f t="shared" si="3"/>
        <v>0</v>
      </c>
      <c r="I6" s="237">
        <f t="shared" si="4"/>
        <v>0</v>
      </c>
      <c r="J6" s="238"/>
      <c r="K6" s="117" cm="1">
        <f t="array" ref="K6">SUMPRODUCT(($B6=CapexCategory)*(K$3=CapexMonth)*CapexAmount)</f>
        <v>40</v>
      </c>
      <c r="L6" s="239" cm="1">
        <f t="array" ref="L6">SUMPRODUCT(($B6=CapexCategory)*(L$3=CapexMonth)*CapexAmount)</f>
        <v>0</v>
      </c>
      <c r="M6" s="239" cm="1">
        <f t="array" ref="M6">SUMPRODUCT(($B6=CapexCategory)*(M$3=CapexMonth)*CapexAmount)</f>
        <v>0</v>
      </c>
      <c r="N6" s="239" cm="1">
        <f t="array" ref="N6">SUMPRODUCT(($B6=CapexCategory)*(N$3=CapexMonth)*CapexAmount)</f>
        <v>0</v>
      </c>
      <c r="O6" s="239" cm="1">
        <f t="array" ref="O6">SUMPRODUCT(($B6=CapexCategory)*(O$3=CapexMonth)*CapexAmount)</f>
        <v>0</v>
      </c>
      <c r="P6" s="239" cm="1">
        <f t="array" ref="P6">SUMPRODUCT(($B6=CapexCategory)*(P$3=CapexMonth)*CapexAmount)</f>
        <v>0</v>
      </c>
      <c r="Q6" s="239" cm="1">
        <f t="array" ref="Q6">SUMPRODUCT(($B6=CapexCategory)*(Q$3=CapexMonth)*CapexAmount)</f>
        <v>0</v>
      </c>
      <c r="R6" s="239" cm="1">
        <f t="array" ref="R6">SUMPRODUCT(($B6=CapexCategory)*(R$3=CapexMonth)*CapexAmount)</f>
        <v>0</v>
      </c>
      <c r="S6" s="239" cm="1">
        <f t="array" ref="S6">SUMPRODUCT(($B6=CapexCategory)*(S$3=CapexMonth)*CapexAmount)</f>
        <v>0</v>
      </c>
      <c r="T6" s="239" cm="1">
        <f t="array" ref="T6">SUMPRODUCT(($B6=CapexCategory)*(T$3=CapexMonth)*CapexAmount)</f>
        <v>0</v>
      </c>
      <c r="U6" s="239" cm="1">
        <f t="array" ref="U6">SUMPRODUCT(($B6=CapexCategory)*(U$3=CapexMonth)*CapexAmount)</f>
        <v>0</v>
      </c>
      <c r="V6" s="237" cm="1">
        <f t="array" ref="V6">SUMPRODUCT(($B6=CapexCategory)*(V$3=CapexMonth)*CapexAmount)</f>
        <v>0</v>
      </c>
      <c r="W6" s="117" cm="1">
        <f t="array" ref="W6">SUMPRODUCT(($B6=CapexCategory)*(W$3=CapexMonth)*CapexAmount)</f>
        <v>0</v>
      </c>
      <c r="X6" s="239" cm="1">
        <f t="array" ref="X6">SUMPRODUCT(($B6=CapexCategory)*(X$3=CapexMonth)*CapexAmount)</f>
        <v>0</v>
      </c>
      <c r="Y6" s="239" cm="1">
        <f t="array" ref="Y6">SUMPRODUCT(($B6=CapexCategory)*(Y$3=CapexMonth)*CapexAmount)</f>
        <v>0</v>
      </c>
      <c r="Z6" s="239" cm="1">
        <f t="array" ref="Z6">SUMPRODUCT(($B6=CapexCategory)*(Z$3=CapexMonth)*CapexAmount)</f>
        <v>0</v>
      </c>
      <c r="AA6" s="239" cm="1">
        <f t="array" ref="AA6">SUMPRODUCT(($B6=CapexCategory)*(AA$3=CapexMonth)*CapexAmount)</f>
        <v>0</v>
      </c>
      <c r="AB6" s="239" cm="1">
        <f t="array" ref="AB6">SUMPRODUCT(($B6=CapexCategory)*(AB$3=CapexMonth)*CapexAmount)</f>
        <v>0</v>
      </c>
      <c r="AC6" s="239" cm="1">
        <f t="array" ref="AC6">SUMPRODUCT(($B6=CapexCategory)*(AC$3=CapexMonth)*CapexAmount)</f>
        <v>0</v>
      </c>
      <c r="AD6" s="239" cm="1">
        <f t="array" ref="AD6">SUMPRODUCT(($B6=CapexCategory)*(AD$3=CapexMonth)*CapexAmount)</f>
        <v>0</v>
      </c>
      <c r="AE6" s="239" cm="1">
        <f t="array" ref="AE6">SUMPRODUCT(($B6=CapexCategory)*(AE$3=CapexMonth)*CapexAmount)</f>
        <v>0</v>
      </c>
      <c r="AF6" s="239" cm="1">
        <f t="array" ref="AF6">SUMPRODUCT(($B6=CapexCategory)*(AF$3=CapexMonth)*CapexAmount)</f>
        <v>0</v>
      </c>
      <c r="AG6" s="239" cm="1">
        <f t="array" ref="AG6">SUMPRODUCT(($B6=CapexCategory)*(AG$3=CapexMonth)*CapexAmount)</f>
        <v>0</v>
      </c>
      <c r="AH6" s="237" cm="1">
        <f t="array" ref="AH6">SUMPRODUCT(($B6=CapexCategory)*(AH$3=CapexMonth)*CapexAmount)</f>
        <v>0</v>
      </c>
      <c r="AI6" s="117" cm="1">
        <f t="array" ref="AI6">SUMPRODUCT(($B6=CapexCategory)*(AI$3=CapexMonth)*CapexAmount)</f>
        <v>0</v>
      </c>
      <c r="AJ6" s="239" cm="1">
        <f t="array" ref="AJ6">SUMPRODUCT(($B6=CapexCategory)*(AJ$3=CapexMonth)*CapexAmount)</f>
        <v>0</v>
      </c>
      <c r="AK6" s="239" cm="1">
        <f t="array" ref="AK6">SUMPRODUCT(($B6=CapexCategory)*(AK$3=CapexMonth)*CapexAmount)</f>
        <v>0</v>
      </c>
      <c r="AL6" s="239" cm="1">
        <f t="array" ref="AL6">SUMPRODUCT(($B6=CapexCategory)*(AL$3=CapexMonth)*CapexAmount)</f>
        <v>0</v>
      </c>
      <c r="AM6" s="239" cm="1">
        <f t="array" ref="AM6">SUMPRODUCT(($B6=CapexCategory)*(AM$3=CapexMonth)*CapexAmount)</f>
        <v>0</v>
      </c>
      <c r="AN6" s="239" cm="1">
        <f t="array" ref="AN6">SUMPRODUCT(($B6=CapexCategory)*(AN$3=CapexMonth)*CapexAmount)</f>
        <v>0</v>
      </c>
      <c r="AO6" s="239" cm="1">
        <f t="array" ref="AO6">SUMPRODUCT(($B6=CapexCategory)*(AO$3=CapexMonth)*CapexAmount)</f>
        <v>0</v>
      </c>
      <c r="AP6" s="239" cm="1">
        <f t="array" ref="AP6">SUMPRODUCT(($B6=CapexCategory)*(AP$3=CapexMonth)*CapexAmount)</f>
        <v>0</v>
      </c>
      <c r="AQ6" s="239" cm="1">
        <f t="array" ref="AQ6">SUMPRODUCT(($B6=CapexCategory)*(AQ$3=CapexMonth)*CapexAmount)</f>
        <v>0</v>
      </c>
      <c r="AR6" s="239" cm="1">
        <f t="array" ref="AR6">SUMPRODUCT(($B6=CapexCategory)*(AR$3=CapexMonth)*CapexAmount)</f>
        <v>0</v>
      </c>
      <c r="AS6" s="239" cm="1">
        <f t="array" ref="AS6">SUMPRODUCT(($B6=CapexCategory)*(AS$3=CapexMonth)*CapexAmount)</f>
        <v>0</v>
      </c>
      <c r="AT6" s="237" cm="1">
        <f t="array" ref="AT6">SUMPRODUCT(($B6=CapexCategory)*(AT$3=CapexMonth)*CapexAmount)</f>
        <v>0</v>
      </c>
      <c r="AU6" s="117" cm="1">
        <f t="array" ref="AU6">SUMPRODUCT(($B6=CapexCategory)*(AU$3=CapexMonth)*CapexAmount)</f>
        <v>0</v>
      </c>
      <c r="AV6" s="239" cm="1">
        <f t="array" ref="AV6">SUMPRODUCT(($B6=CapexCategory)*(AV$3=CapexMonth)*CapexAmount)</f>
        <v>0</v>
      </c>
      <c r="AW6" s="239" cm="1">
        <f t="array" ref="AW6">SUMPRODUCT(($B6=CapexCategory)*(AW$3=CapexMonth)*CapexAmount)</f>
        <v>0</v>
      </c>
      <c r="AX6" s="239" cm="1">
        <f t="array" ref="AX6">SUMPRODUCT(($B6=CapexCategory)*(AX$3=CapexMonth)*CapexAmount)</f>
        <v>0</v>
      </c>
      <c r="AY6" s="239" cm="1">
        <f t="array" ref="AY6">SUMPRODUCT(($B6=CapexCategory)*(AY$3=CapexMonth)*CapexAmount)</f>
        <v>0</v>
      </c>
      <c r="AZ6" s="239" cm="1">
        <f t="array" ref="AZ6">SUMPRODUCT(($B6=CapexCategory)*(AZ$3=CapexMonth)*CapexAmount)</f>
        <v>0</v>
      </c>
      <c r="BA6" s="239" cm="1">
        <f t="array" ref="BA6">SUMPRODUCT(($B6=CapexCategory)*(BA$3=CapexMonth)*CapexAmount)</f>
        <v>0</v>
      </c>
      <c r="BB6" s="239" cm="1">
        <f t="array" ref="BB6">SUMPRODUCT(($B6=CapexCategory)*(BB$3=CapexMonth)*CapexAmount)</f>
        <v>0</v>
      </c>
      <c r="BC6" s="239" cm="1">
        <f t="array" ref="BC6">SUMPRODUCT(($B6=CapexCategory)*(BC$3=CapexMonth)*CapexAmount)</f>
        <v>0</v>
      </c>
      <c r="BD6" s="239" cm="1">
        <f t="array" ref="BD6">SUMPRODUCT(($B6=CapexCategory)*(BD$3=CapexMonth)*CapexAmount)</f>
        <v>0</v>
      </c>
      <c r="BE6" s="239" cm="1">
        <f t="array" ref="BE6">SUMPRODUCT(($B6=CapexCategory)*(BE$3=CapexMonth)*CapexAmount)</f>
        <v>0</v>
      </c>
      <c r="BF6" s="237" cm="1">
        <f t="array" ref="BF6">SUMPRODUCT(($B6=CapexCategory)*(BF$3=CapexMonth)*CapexAmount)</f>
        <v>0</v>
      </c>
      <c r="BG6" s="117" cm="1">
        <f t="array" ref="BG6">SUMPRODUCT(($B6=CapexCategory)*(BG$3=CapexMonth)*CapexAmount)</f>
        <v>0</v>
      </c>
      <c r="BH6" s="239" cm="1">
        <f t="array" ref="BH6">SUMPRODUCT(($B6=CapexCategory)*(BH$3=CapexMonth)*CapexAmount)</f>
        <v>0</v>
      </c>
      <c r="BI6" s="239" cm="1">
        <f t="array" ref="BI6">SUMPRODUCT(($B6=CapexCategory)*(BI$3=CapexMonth)*CapexAmount)</f>
        <v>0</v>
      </c>
      <c r="BJ6" s="239" cm="1">
        <f t="array" ref="BJ6">SUMPRODUCT(($B6=CapexCategory)*(BJ$3=CapexMonth)*CapexAmount)</f>
        <v>0</v>
      </c>
      <c r="BK6" s="239" cm="1">
        <f t="array" ref="BK6">SUMPRODUCT(($B6=CapexCategory)*(BK$3=CapexMonth)*CapexAmount)</f>
        <v>0</v>
      </c>
      <c r="BL6" s="239" cm="1">
        <f t="array" ref="BL6">SUMPRODUCT(($B6=CapexCategory)*(BL$3=CapexMonth)*CapexAmount)</f>
        <v>0</v>
      </c>
      <c r="BM6" s="239" cm="1">
        <f t="array" ref="BM6">SUMPRODUCT(($B6=CapexCategory)*(BM$3=CapexMonth)*CapexAmount)</f>
        <v>0</v>
      </c>
      <c r="BN6" s="239" cm="1">
        <f t="array" ref="BN6">SUMPRODUCT(($B6=CapexCategory)*(BN$3=CapexMonth)*CapexAmount)</f>
        <v>0</v>
      </c>
      <c r="BO6" s="239" cm="1">
        <f t="array" ref="BO6">SUMPRODUCT(($B6=CapexCategory)*(BO$3=CapexMonth)*CapexAmount)</f>
        <v>0</v>
      </c>
      <c r="BP6" s="239" cm="1">
        <f t="array" ref="BP6">SUMPRODUCT(($B6=CapexCategory)*(BP$3=CapexMonth)*CapexAmount)</f>
        <v>0</v>
      </c>
      <c r="BQ6" s="239" cm="1">
        <f t="array" ref="BQ6">SUMPRODUCT(($B6=CapexCategory)*(BQ$3=CapexMonth)*CapexAmount)</f>
        <v>0</v>
      </c>
      <c r="BR6" s="237" cm="1">
        <f t="array" ref="BR6">SUMPRODUCT(($B6=CapexCategory)*(BR$3=CapexMonth)*CapexAmount)</f>
        <v>0</v>
      </c>
    </row>
    <row r="7" spans="1:70" x14ac:dyDescent="0.3">
      <c r="A7" s="14"/>
      <c r="B7" s="159" t="s">
        <v>56</v>
      </c>
      <c r="C7" s="185"/>
      <c r="D7" s="94"/>
      <c r="E7" s="237">
        <f t="shared" si="0"/>
        <v>50</v>
      </c>
      <c r="F7" s="237">
        <f t="shared" si="1"/>
        <v>0</v>
      </c>
      <c r="G7" s="237">
        <f t="shared" si="2"/>
        <v>0</v>
      </c>
      <c r="H7" s="237">
        <f t="shared" si="3"/>
        <v>0</v>
      </c>
      <c r="I7" s="237">
        <f t="shared" si="4"/>
        <v>0</v>
      </c>
      <c r="J7" s="238"/>
      <c r="K7" s="117" cm="1">
        <f t="array" ref="K7">SUMPRODUCT(($B7=CapexCategory)*(K$3=CapexMonth)*CapexAmount)</f>
        <v>0</v>
      </c>
      <c r="L7" s="239" cm="1">
        <f t="array" ref="L7">SUMPRODUCT(($B7=CapexCategory)*(L$3=CapexMonth)*CapexAmount)</f>
        <v>0</v>
      </c>
      <c r="M7" s="239" cm="1">
        <f t="array" ref="M7">SUMPRODUCT(($B7=CapexCategory)*(M$3=CapexMonth)*CapexAmount)</f>
        <v>0</v>
      </c>
      <c r="N7" s="239" cm="1">
        <f t="array" ref="N7">SUMPRODUCT(($B7=CapexCategory)*(N$3=CapexMonth)*CapexAmount)</f>
        <v>0</v>
      </c>
      <c r="O7" s="239" cm="1">
        <f t="array" ref="O7">SUMPRODUCT(($B7=CapexCategory)*(O$3=CapexMonth)*CapexAmount)</f>
        <v>0</v>
      </c>
      <c r="P7" s="239" cm="1">
        <f t="array" ref="P7">SUMPRODUCT(($B7=CapexCategory)*(P$3=CapexMonth)*CapexAmount)</f>
        <v>0</v>
      </c>
      <c r="Q7" s="239" cm="1">
        <f t="array" ref="Q7">SUMPRODUCT(($B7=CapexCategory)*(Q$3=CapexMonth)*CapexAmount)</f>
        <v>0</v>
      </c>
      <c r="R7" s="239" cm="1">
        <f t="array" ref="R7">SUMPRODUCT(($B7=CapexCategory)*(R$3=CapexMonth)*CapexAmount)</f>
        <v>50</v>
      </c>
      <c r="S7" s="239" cm="1">
        <f t="array" ref="S7">SUMPRODUCT(($B7=CapexCategory)*(S$3=CapexMonth)*CapexAmount)</f>
        <v>0</v>
      </c>
      <c r="T7" s="239" cm="1">
        <f t="array" ref="T7">SUMPRODUCT(($B7=CapexCategory)*(T$3=CapexMonth)*CapexAmount)</f>
        <v>0</v>
      </c>
      <c r="U7" s="239" cm="1">
        <f t="array" ref="U7">SUMPRODUCT(($B7=CapexCategory)*(U$3=CapexMonth)*CapexAmount)</f>
        <v>0</v>
      </c>
      <c r="V7" s="237" cm="1">
        <f t="array" ref="V7">SUMPRODUCT(($B7=CapexCategory)*(V$3=CapexMonth)*CapexAmount)</f>
        <v>0</v>
      </c>
      <c r="W7" s="117" cm="1">
        <f t="array" ref="W7">SUMPRODUCT(($B7=CapexCategory)*(W$3=CapexMonth)*CapexAmount)</f>
        <v>0</v>
      </c>
      <c r="X7" s="239" cm="1">
        <f t="array" ref="X7">SUMPRODUCT(($B7=CapexCategory)*(X$3=CapexMonth)*CapexAmount)</f>
        <v>0</v>
      </c>
      <c r="Y7" s="239" cm="1">
        <f t="array" ref="Y7">SUMPRODUCT(($B7=CapexCategory)*(Y$3=CapexMonth)*CapexAmount)</f>
        <v>0</v>
      </c>
      <c r="Z7" s="239" cm="1">
        <f t="array" ref="Z7">SUMPRODUCT(($B7=CapexCategory)*(Z$3=CapexMonth)*CapexAmount)</f>
        <v>0</v>
      </c>
      <c r="AA7" s="239" cm="1">
        <f t="array" ref="AA7">SUMPRODUCT(($B7=CapexCategory)*(AA$3=CapexMonth)*CapexAmount)</f>
        <v>0</v>
      </c>
      <c r="AB7" s="239" cm="1">
        <f t="array" ref="AB7">SUMPRODUCT(($B7=CapexCategory)*(AB$3=CapexMonth)*CapexAmount)</f>
        <v>0</v>
      </c>
      <c r="AC7" s="239" cm="1">
        <f t="array" ref="AC7">SUMPRODUCT(($B7=CapexCategory)*(AC$3=CapexMonth)*CapexAmount)</f>
        <v>0</v>
      </c>
      <c r="AD7" s="239" cm="1">
        <f t="array" ref="AD7">SUMPRODUCT(($B7=CapexCategory)*(AD$3=CapexMonth)*CapexAmount)</f>
        <v>0</v>
      </c>
      <c r="AE7" s="239" cm="1">
        <f t="array" ref="AE7">SUMPRODUCT(($B7=CapexCategory)*(AE$3=CapexMonth)*CapexAmount)</f>
        <v>0</v>
      </c>
      <c r="AF7" s="239" cm="1">
        <f t="array" ref="AF7">SUMPRODUCT(($B7=CapexCategory)*(AF$3=CapexMonth)*CapexAmount)</f>
        <v>0</v>
      </c>
      <c r="AG7" s="239" cm="1">
        <f t="array" ref="AG7">SUMPRODUCT(($B7=CapexCategory)*(AG$3=CapexMonth)*CapexAmount)</f>
        <v>0</v>
      </c>
      <c r="AH7" s="237" cm="1">
        <f t="array" ref="AH7">SUMPRODUCT(($B7=CapexCategory)*(AH$3=CapexMonth)*CapexAmount)</f>
        <v>0</v>
      </c>
      <c r="AI7" s="117" cm="1">
        <f t="array" ref="AI7">SUMPRODUCT(($B7=CapexCategory)*(AI$3=CapexMonth)*CapexAmount)</f>
        <v>0</v>
      </c>
      <c r="AJ7" s="239" cm="1">
        <f t="array" ref="AJ7">SUMPRODUCT(($B7=CapexCategory)*(AJ$3=CapexMonth)*CapexAmount)</f>
        <v>0</v>
      </c>
      <c r="AK7" s="239" cm="1">
        <f t="array" ref="AK7">SUMPRODUCT(($B7=CapexCategory)*(AK$3=CapexMonth)*CapexAmount)</f>
        <v>0</v>
      </c>
      <c r="AL7" s="239" cm="1">
        <f t="array" ref="AL7">SUMPRODUCT(($B7=CapexCategory)*(AL$3=CapexMonth)*CapexAmount)</f>
        <v>0</v>
      </c>
      <c r="AM7" s="239" cm="1">
        <f t="array" ref="AM7">SUMPRODUCT(($B7=CapexCategory)*(AM$3=CapexMonth)*CapexAmount)</f>
        <v>0</v>
      </c>
      <c r="AN7" s="239" cm="1">
        <f t="array" ref="AN7">SUMPRODUCT(($B7=CapexCategory)*(AN$3=CapexMonth)*CapexAmount)</f>
        <v>0</v>
      </c>
      <c r="AO7" s="239" cm="1">
        <f t="array" ref="AO7">SUMPRODUCT(($B7=CapexCategory)*(AO$3=CapexMonth)*CapexAmount)</f>
        <v>0</v>
      </c>
      <c r="AP7" s="239" cm="1">
        <f t="array" ref="AP7">SUMPRODUCT(($B7=CapexCategory)*(AP$3=CapexMonth)*CapexAmount)</f>
        <v>0</v>
      </c>
      <c r="AQ7" s="239" cm="1">
        <f t="array" ref="AQ7">SUMPRODUCT(($B7=CapexCategory)*(AQ$3=CapexMonth)*CapexAmount)</f>
        <v>0</v>
      </c>
      <c r="AR7" s="239" cm="1">
        <f t="array" ref="AR7">SUMPRODUCT(($B7=CapexCategory)*(AR$3=CapexMonth)*CapexAmount)</f>
        <v>0</v>
      </c>
      <c r="AS7" s="239" cm="1">
        <f t="array" ref="AS7">SUMPRODUCT(($B7=CapexCategory)*(AS$3=CapexMonth)*CapexAmount)</f>
        <v>0</v>
      </c>
      <c r="AT7" s="237" cm="1">
        <f t="array" ref="AT7">SUMPRODUCT(($B7=CapexCategory)*(AT$3=CapexMonth)*CapexAmount)</f>
        <v>0</v>
      </c>
      <c r="AU7" s="117" cm="1">
        <f t="array" ref="AU7">SUMPRODUCT(($B7=CapexCategory)*(AU$3=CapexMonth)*CapexAmount)</f>
        <v>0</v>
      </c>
      <c r="AV7" s="239" cm="1">
        <f t="array" ref="AV7">SUMPRODUCT(($B7=CapexCategory)*(AV$3=CapexMonth)*CapexAmount)</f>
        <v>0</v>
      </c>
      <c r="AW7" s="239" cm="1">
        <f t="array" ref="AW7">SUMPRODUCT(($B7=CapexCategory)*(AW$3=CapexMonth)*CapexAmount)</f>
        <v>0</v>
      </c>
      <c r="AX7" s="239" cm="1">
        <f t="array" ref="AX7">SUMPRODUCT(($B7=CapexCategory)*(AX$3=CapexMonth)*CapexAmount)</f>
        <v>0</v>
      </c>
      <c r="AY7" s="239" cm="1">
        <f t="array" ref="AY7">SUMPRODUCT(($B7=CapexCategory)*(AY$3=CapexMonth)*CapexAmount)</f>
        <v>0</v>
      </c>
      <c r="AZ7" s="239" cm="1">
        <f t="array" ref="AZ7">SUMPRODUCT(($B7=CapexCategory)*(AZ$3=CapexMonth)*CapexAmount)</f>
        <v>0</v>
      </c>
      <c r="BA7" s="239" cm="1">
        <f t="array" ref="BA7">SUMPRODUCT(($B7=CapexCategory)*(BA$3=CapexMonth)*CapexAmount)</f>
        <v>0</v>
      </c>
      <c r="BB7" s="239" cm="1">
        <f t="array" ref="BB7">SUMPRODUCT(($B7=CapexCategory)*(BB$3=CapexMonth)*CapexAmount)</f>
        <v>0</v>
      </c>
      <c r="BC7" s="239" cm="1">
        <f t="array" ref="BC7">SUMPRODUCT(($B7=CapexCategory)*(BC$3=CapexMonth)*CapexAmount)</f>
        <v>0</v>
      </c>
      <c r="BD7" s="239" cm="1">
        <f t="array" ref="BD7">SUMPRODUCT(($B7=CapexCategory)*(BD$3=CapexMonth)*CapexAmount)</f>
        <v>0</v>
      </c>
      <c r="BE7" s="239" cm="1">
        <f t="array" ref="BE7">SUMPRODUCT(($B7=CapexCategory)*(BE$3=CapexMonth)*CapexAmount)</f>
        <v>0</v>
      </c>
      <c r="BF7" s="237" cm="1">
        <f t="array" ref="BF7">SUMPRODUCT(($B7=CapexCategory)*(BF$3=CapexMonth)*CapexAmount)</f>
        <v>0</v>
      </c>
      <c r="BG7" s="117" cm="1">
        <f t="array" ref="BG7">SUMPRODUCT(($B7=CapexCategory)*(BG$3=CapexMonth)*CapexAmount)</f>
        <v>0</v>
      </c>
      <c r="BH7" s="239" cm="1">
        <f t="array" ref="BH7">SUMPRODUCT(($B7=CapexCategory)*(BH$3=CapexMonth)*CapexAmount)</f>
        <v>0</v>
      </c>
      <c r="BI7" s="239" cm="1">
        <f t="array" ref="BI7">SUMPRODUCT(($B7=CapexCategory)*(BI$3=CapexMonth)*CapexAmount)</f>
        <v>0</v>
      </c>
      <c r="BJ7" s="239" cm="1">
        <f t="array" ref="BJ7">SUMPRODUCT(($B7=CapexCategory)*(BJ$3=CapexMonth)*CapexAmount)</f>
        <v>0</v>
      </c>
      <c r="BK7" s="239" cm="1">
        <f t="array" ref="BK7">SUMPRODUCT(($B7=CapexCategory)*(BK$3=CapexMonth)*CapexAmount)</f>
        <v>0</v>
      </c>
      <c r="BL7" s="239" cm="1">
        <f t="array" ref="BL7">SUMPRODUCT(($B7=CapexCategory)*(BL$3=CapexMonth)*CapexAmount)</f>
        <v>0</v>
      </c>
      <c r="BM7" s="239" cm="1">
        <f t="array" ref="BM7">SUMPRODUCT(($B7=CapexCategory)*(BM$3=CapexMonth)*CapexAmount)</f>
        <v>0</v>
      </c>
      <c r="BN7" s="239" cm="1">
        <f t="array" ref="BN7">SUMPRODUCT(($B7=CapexCategory)*(BN$3=CapexMonth)*CapexAmount)</f>
        <v>0</v>
      </c>
      <c r="BO7" s="239" cm="1">
        <f t="array" ref="BO7">SUMPRODUCT(($B7=CapexCategory)*(BO$3=CapexMonth)*CapexAmount)</f>
        <v>0</v>
      </c>
      <c r="BP7" s="239" cm="1">
        <f t="array" ref="BP7">SUMPRODUCT(($B7=CapexCategory)*(BP$3=CapexMonth)*CapexAmount)</f>
        <v>0</v>
      </c>
      <c r="BQ7" s="239" cm="1">
        <f t="array" ref="BQ7">SUMPRODUCT(($B7=CapexCategory)*(BQ$3=CapexMonth)*CapexAmount)</f>
        <v>0</v>
      </c>
      <c r="BR7" s="237" cm="1">
        <f t="array" ref="BR7">SUMPRODUCT(($B7=CapexCategory)*(BR$3=CapexMonth)*CapexAmount)</f>
        <v>0</v>
      </c>
    </row>
    <row r="8" spans="1:70" x14ac:dyDescent="0.3">
      <c r="A8" s="6"/>
      <c r="B8" s="159" t="s">
        <v>60</v>
      </c>
      <c r="C8" s="185"/>
      <c r="D8" s="93"/>
      <c r="E8" s="237">
        <f t="shared" si="0"/>
        <v>100</v>
      </c>
      <c r="F8" s="237">
        <f t="shared" si="1"/>
        <v>0</v>
      </c>
      <c r="G8" s="237">
        <f t="shared" si="2"/>
        <v>0</v>
      </c>
      <c r="H8" s="237">
        <f t="shared" si="3"/>
        <v>0</v>
      </c>
      <c r="I8" s="237">
        <f t="shared" si="4"/>
        <v>0</v>
      </c>
      <c r="J8" s="238"/>
      <c r="K8" s="117" cm="1">
        <f t="array" ref="K8">SUMPRODUCT(($B8=CapexCategory)*(K$3=CapexMonth)*CapexAmount)</f>
        <v>0</v>
      </c>
      <c r="L8" s="239" cm="1">
        <f t="array" ref="L8">SUMPRODUCT(($B8=CapexCategory)*(L$3=CapexMonth)*CapexAmount)</f>
        <v>0</v>
      </c>
      <c r="M8" s="239" cm="1">
        <f t="array" ref="M8">SUMPRODUCT(($B8=CapexCategory)*(M$3=CapexMonth)*CapexAmount)</f>
        <v>0</v>
      </c>
      <c r="N8" s="239" cm="1">
        <f t="array" ref="N8">SUMPRODUCT(($B8=CapexCategory)*(N$3=CapexMonth)*CapexAmount)</f>
        <v>0</v>
      </c>
      <c r="O8" s="239" cm="1">
        <f t="array" ref="O8">SUMPRODUCT(($B8=CapexCategory)*(O$3=CapexMonth)*CapexAmount)</f>
        <v>0</v>
      </c>
      <c r="P8" s="239" cm="1">
        <f t="array" ref="P8">SUMPRODUCT(($B8=CapexCategory)*(P$3=CapexMonth)*CapexAmount)</f>
        <v>100</v>
      </c>
      <c r="Q8" s="239" cm="1">
        <f t="array" ref="Q8">SUMPRODUCT(($B8=CapexCategory)*(Q$3=CapexMonth)*CapexAmount)</f>
        <v>0</v>
      </c>
      <c r="R8" s="239" cm="1">
        <f t="array" ref="R8">SUMPRODUCT(($B8=CapexCategory)*(R$3=CapexMonth)*CapexAmount)</f>
        <v>0</v>
      </c>
      <c r="S8" s="239" cm="1">
        <f t="array" ref="S8">SUMPRODUCT(($B8=CapexCategory)*(S$3=CapexMonth)*CapexAmount)</f>
        <v>0</v>
      </c>
      <c r="T8" s="239" cm="1">
        <f t="array" ref="T8">SUMPRODUCT(($B8=CapexCategory)*(T$3=CapexMonth)*CapexAmount)</f>
        <v>0</v>
      </c>
      <c r="U8" s="239" cm="1">
        <f t="array" ref="U8">SUMPRODUCT(($B8=CapexCategory)*(U$3=CapexMonth)*CapexAmount)</f>
        <v>0</v>
      </c>
      <c r="V8" s="237" cm="1">
        <f t="array" ref="V8">SUMPRODUCT(($B8=CapexCategory)*(V$3=CapexMonth)*CapexAmount)</f>
        <v>0</v>
      </c>
      <c r="W8" s="117" cm="1">
        <f t="array" ref="W8">SUMPRODUCT(($B8=CapexCategory)*(W$3=CapexMonth)*CapexAmount)</f>
        <v>0</v>
      </c>
      <c r="X8" s="239" cm="1">
        <f t="array" ref="X8">SUMPRODUCT(($B8=CapexCategory)*(X$3=CapexMonth)*CapexAmount)</f>
        <v>0</v>
      </c>
      <c r="Y8" s="239" cm="1">
        <f t="array" ref="Y8">SUMPRODUCT(($B8=CapexCategory)*(Y$3=CapexMonth)*CapexAmount)</f>
        <v>0</v>
      </c>
      <c r="Z8" s="239" cm="1">
        <f t="array" ref="Z8">SUMPRODUCT(($B8=CapexCategory)*(Z$3=CapexMonth)*CapexAmount)</f>
        <v>0</v>
      </c>
      <c r="AA8" s="239" cm="1">
        <f t="array" ref="AA8">SUMPRODUCT(($B8=CapexCategory)*(AA$3=CapexMonth)*CapexAmount)</f>
        <v>0</v>
      </c>
      <c r="AB8" s="239" cm="1">
        <f t="array" ref="AB8">SUMPRODUCT(($B8=CapexCategory)*(AB$3=CapexMonth)*CapexAmount)</f>
        <v>0</v>
      </c>
      <c r="AC8" s="239" cm="1">
        <f t="array" ref="AC8">SUMPRODUCT(($B8=CapexCategory)*(AC$3=CapexMonth)*CapexAmount)</f>
        <v>0</v>
      </c>
      <c r="AD8" s="239" cm="1">
        <f t="array" ref="AD8">SUMPRODUCT(($B8=CapexCategory)*(AD$3=CapexMonth)*CapexAmount)</f>
        <v>0</v>
      </c>
      <c r="AE8" s="239" cm="1">
        <f t="array" ref="AE8">SUMPRODUCT(($B8=CapexCategory)*(AE$3=CapexMonth)*CapexAmount)</f>
        <v>0</v>
      </c>
      <c r="AF8" s="239" cm="1">
        <f t="array" ref="AF8">SUMPRODUCT(($B8=CapexCategory)*(AF$3=CapexMonth)*CapexAmount)</f>
        <v>0</v>
      </c>
      <c r="AG8" s="239" cm="1">
        <f t="array" ref="AG8">SUMPRODUCT(($B8=CapexCategory)*(AG$3=CapexMonth)*CapexAmount)</f>
        <v>0</v>
      </c>
      <c r="AH8" s="237" cm="1">
        <f t="array" ref="AH8">SUMPRODUCT(($B8=CapexCategory)*(AH$3=CapexMonth)*CapexAmount)</f>
        <v>0</v>
      </c>
      <c r="AI8" s="117" cm="1">
        <f t="array" ref="AI8">SUMPRODUCT(($B8=CapexCategory)*(AI$3=CapexMonth)*CapexAmount)</f>
        <v>0</v>
      </c>
      <c r="AJ8" s="239" cm="1">
        <f t="array" ref="AJ8">SUMPRODUCT(($B8=CapexCategory)*(AJ$3=CapexMonth)*CapexAmount)</f>
        <v>0</v>
      </c>
      <c r="AK8" s="239" cm="1">
        <f t="array" ref="AK8">SUMPRODUCT(($B8=CapexCategory)*(AK$3=CapexMonth)*CapexAmount)</f>
        <v>0</v>
      </c>
      <c r="AL8" s="239" cm="1">
        <f t="array" ref="AL8">SUMPRODUCT(($B8=CapexCategory)*(AL$3=CapexMonth)*CapexAmount)</f>
        <v>0</v>
      </c>
      <c r="AM8" s="239" cm="1">
        <f t="array" ref="AM8">SUMPRODUCT(($B8=CapexCategory)*(AM$3=CapexMonth)*CapexAmount)</f>
        <v>0</v>
      </c>
      <c r="AN8" s="239" cm="1">
        <f t="array" ref="AN8">SUMPRODUCT(($B8=CapexCategory)*(AN$3=CapexMonth)*CapexAmount)</f>
        <v>0</v>
      </c>
      <c r="AO8" s="239" cm="1">
        <f t="array" ref="AO8">SUMPRODUCT(($B8=CapexCategory)*(AO$3=CapexMonth)*CapexAmount)</f>
        <v>0</v>
      </c>
      <c r="AP8" s="239" cm="1">
        <f t="array" ref="AP8">SUMPRODUCT(($B8=CapexCategory)*(AP$3=CapexMonth)*CapexAmount)</f>
        <v>0</v>
      </c>
      <c r="AQ8" s="239" cm="1">
        <f t="array" ref="AQ8">SUMPRODUCT(($B8=CapexCategory)*(AQ$3=CapexMonth)*CapexAmount)</f>
        <v>0</v>
      </c>
      <c r="AR8" s="239" cm="1">
        <f t="array" ref="AR8">SUMPRODUCT(($B8=CapexCategory)*(AR$3=CapexMonth)*CapexAmount)</f>
        <v>0</v>
      </c>
      <c r="AS8" s="239" cm="1">
        <f t="array" ref="AS8">SUMPRODUCT(($B8=CapexCategory)*(AS$3=CapexMonth)*CapexAmount)</f>
        <v>0</v>
      </c>
      <c r="AT8" s="237" cm="1">
        <f t="array" ref="AT8">SUMPRODUCT(($B8=CapexCategory)*(AT$3=CapexMonth)*CapexAmount)</f>
        <v>0</v>
      </c>
      <c r="AU8" s="117" cm="1">
        <f t="array" ref="AU8">SUMPRODUCT(($B8=CapexCategory)*(AU$3=CapexMonth)*CapexAmount)</f>
        <v>0</v>
      </c>
      <c r="AV8" s="239" cm="1">
        <f t="array" ref="AV8">SUMPRODUCT(($B8=CapexCategory)*(AV$3=CapexMonth)*CapexAmount)</f>
        <v>0</v>
      </c>
      <c r="AW8" s="239" cm="1">
        <f t="array" ref="AW8">SUMPRODUCT(($B8=CapexCategory)*(AW$3=CapexMonth)*CapexAmount)</f>
        <v>0</v>
      </c>
      <c r="AX8" s="239" cm="1">
        <f t="array" ref="AX8">SUMPRODUCT(($B8=CapexCategory)*(AX$3=CapexMonth)*CapexAmount)</f>
        <v>0</v>
      </c>
      <c r="AY8" s="239" cm="1">
        <f t="array" ref="AY8">SUMPRODUCT(($B8=CapexCategory)*(AY$3=CapexMonth)*CapexAmount)</f>
        <v>0</v>
      </c>
      <c r="AZ8" s="239" cm="1">
        <f t="array" ref="AZ8">SUMPRODUCT(($B8=CapexCategory)*(AZ$3=CapexMonth)*CapexAmount)</f>
        <v>0</v>
      </c>
      <c r="BA8" s="239" cm="1">
        <f t="array" ref="BA8">SUMPRODUCT(($B8=CapexCategory)*(BA$3=CapexMonth)*CapexAmount)</f>
        <v>0</v>
      </c>
      <c r="BB8" s="239" cm="1">
        <f t="array" ref="BB8">SUMPRODUCT(($B8=CapexCategory)*(BB$3=CapexMonth)*CapexAmount)</f>
        <v>0</v>
      </c>
      <c r="BC8" s="239" cm="1">
        <f t="array" ref="BC8">SUMPRODUCT(($B8=CapexCategory)*(BC$3=CapexMonth)*CapexAmount)</f>
        <v>0</v>
      </c>
      <c r="BD8" s="239" cm="1">
        <f t="array" ref="BD8">SUMPRODUCT(($B8=CapexCategory)*(BD$3=CapexMonth)*CapexAmount)</f>
        <v>0</v>
      </c>
      <c r="BE8" s="239" cm="1">
        <f t="array" ref="BE8">SUMPRODUCT(($B8=CapexCategory)*(BE$3=CapexMonth)*CapexAmount)</f>
        <v>0</v>
      </c>
      <c r="BF8" s="237" cm="1">
        <f t="array" ref="BF8">SUMPRODUCT(($B8=CapexCategory)*(BF$3=CapexMonth)*CapexAmount)</f>
        <v>0</v>
      </c>
      <c r="BG8" s="117" cm="1">
        <f t="array" ref="BG8">SUMPRODUCT(($B8=CapexCategory)*(BG$3=CapexMonth)*CapexAmount)</f>
        <v>0</v>
      </c>
      <c r="BH8" s="239" cm="1">
        <f t="array" ref="BH8">SUMPRODUCT(($B8=CapexCategory)*(BH$3=CapexMonth)*CapexAmount)</f>
        <v>0</v>
      </c>
      <c r="BI8" s="239" cm="1">
        <f t="array" ref="BI8">SUMPRODUCT(($B8=CapexCategory)*(BI$3=CapexMonth)*CapexAmount)</f>
        <v>0</v>
      </c>
      <c r="BJ8" s="239" cm="1">
        <f t="array" ref="BJ8">SUMPRODUCT(($B8=CapexCategory)*(BJ$3=CapexMonth)*CapexAmount)</f>
        <v>0</v>
      </c>
      <c r="BK8" s="239" cm="1">
        <f t="array" ref="BK8">SUMPRODUCT(($B8=CapexCategory)*(BK$3=CapexMonth)*CapexAmount)</f>
        <v>0</v>
      </c>
      <c r="BL8" s="239" cm="1">
        <f t="array" ref="BL8">SUMPRODUCT(($B8=CapexCategory)*(BL$3=CapexMonth)*CapexAmount)</f>
        <v>0</v>
      </c>
      <c r="BM8" s="239" cm="1">
        <f t="array" ref="BM8">SUMPRODUCT(($B8=CapexCategory)*(BM$3=CapexMonth)*CapexAmount)</f>
        <v>0</v>
      </c>
      <c r="BN8" s="239" cm="1">
        <f t="array" ref="BN8">SUMPRODUCT(($B8=CapexCategory)*(BN$3=CapexMonth)*CapexAmount)</f>
        <v>0</v>
      </c>
      <c r="BO8" s="239" cm="1">
        <f t="array" ref="BO8">SUMPRODUCT(($B8=CapexCategory)*(BO$3=CapexMonth)*CapexAmount)</f>
        <v>0</v>
      </c>
      <c r="BP8" s="239" cm="1">
        <f t="array" ref="BP8">SUMPRODUCT(($B8=CapexCategory)*(BP$3=CapexMonth)*CapexAmount)</f>
        <v>0</v>
      </c>
      <c r="BQ8" s="239" cm="1">
        <f t="array" ref="BQ8">SUMPRODUCT(($B8=CapexCategory)*(BQ$3=CapexMonth)*CapexAmount)</f>
        <v>0</v>
      </c>
      <c r="BR8" s="237" cm="1">
        <f t="array" ref="BR8">SUMPRODUCT(($B8=CapexCategory)*(BR$3=CapexMonth)*CapexAmount)</f>
        <v>0</v>
      </c>
    </row>
    <row r="9" spans="1:70" x14ac:dyDescent="0.3">
      <c r="A9" s="164"/>
      <c r="B9" s="159" t="s">
        <v>65</v>
      </c>
      <c r="C9" s="160"/>
      <c r="D9" s="102"/>
      <c r="E9" s="237">
        <f t="shared" si="0"/>
        <v>0</v>
      </c>
      <c r="F9" s="237">
        <f t="shared" si="1"/>
        <v>0</v>
      </c>
      <c r="G9" s="237">
        <f t="shared" si="2"/>
        <v>0</v>
      </c>
      <c r="H9" s="237">
        <f t="shared" si="3"/>
        <v>0</v>
      </c>
      <c r="I9" s="237">
        <f t="shared" si="4"/>
        <v>0</v>
      </c>
      <c r="J9" s="238"/>
      <c r="K9" s="117" cm="1">
        <f t="array" ref="K9">SUMPRODUCT(($B9=CapexCategory)*(K$3=CapexMonth)*CapexAmount)</f>
        <v>0</v>
      </c>
      <c r="L9" s="239" cm="1">
        <f t="array" ref="L9">SUMPRODUCT(($B9=CapexCategory)*(L$3=CapexMonth)*CapexAmount)</f>
        <v>0</v>
      </c>
      <c r="M9" s="239" cm="1">
        <f t="array" ref="M9">SUMPRODUCT(($B9=CapexCategory)*(M$3=CapexMonth)*CapexAmount)</f>
        <v>0</v>
      </c>
      <c r="N9" s="239" cm="1">
        <f t="array" ref="N9">SUMPRODUCT(($B9=CapexCategory)*(N$3=CapexMonth)*CapexAmount)</f>
        <v>0</v>
      </c>
      <c r="O9" s="239" cm="1">
        <f t="array" ref="O9">SUMPRODUCT(($B9=CapexCategory)*(O$3=CapexMonth)*CapexAmount)</f>
        <v>0</v>
      </c>
      <c r="P9" s="239" cm="1">
        <f t="array" ref="P9">SUMPRODUCT(($B9=CapexCategory)*(P$3=CapexMonth)*CapexAmount)</f>
        <v>0</v>
      </c>
      <c r="Q9" s="239" cm="1">
        <f t="array" ref="Q9">SUMPRODUCT(($B9=CapexCategory)*(Q$3=CapexMonth)*CapexAmount)</f>
        <v>0</v>
      </c>
      <c r="R9" s="239" cm="1">
        <f t="array" ref="R9">SUMPRODUCT(($B9=CapexCategory)*(R$3=CapexMonth)*CapexAmount)</f>
        <v>0</v>
      </c>
      <c r="S9" s="239" cm="1">
        <f t="array" ref="S9">SUMPRODUCT(($B9=CapexCategory)*(S$3=CapexMonth)*CapexAmount)</f>
        <v>0</v>
      </c>
      <c r="T9" s="239" cm="1">
        <f t="array" ref="T9">SUMPRODUCT(($B9=CapexCategory)*(T$3=CapexMonth)*CapexAmount)</f>
        <v>0</v>
      </c>
      <c r="U9" s="239" cm="1">
        <f t="array" ref="U9">SUMPRODUCT(($B9=CapexCategory)*(U$3=CapexMonth)*CapexAmount)</f>
        <v>0</v>
      </c>
      <c r="V9" s="237" cm="1">
        <f t="array" ref="V9">SUMPRODUCT(($B9=CapexCategory)*(V$3=CapexMonth)*CapexAmount)</f>
        <v>0</v>
      </c>
      <c r="W9" s="117" cm="1">
        <f t="array" ref="W9">SUMPRODUCT(($B9=CapexCategory)*(W$3=CapexMonth)*CapexAmount)</f>
        <v>0</v>
      </c>
      <c r="X9" s="239" cm="1">
        <f t="array" ref="X9">SUMPRODUCT(($B9=CapexCategory)*(X$3=CapexMonth)*CapexAmount)</f>
        <v>0</v>
      </c>
      <c r="Y9" s="239" cm="1">
        <f t="array" ref="Y9">SUMPRODUCT(($B9=CapexCategory)*(Y$3=CapexMonth)*CapexAmount)</f>
        <v>0</v>
      </c>
      <c r="Z9" s="239" cm="1">
        <f t="array" ref="Z9">SUMPRODUCT(($B9=CapexCategory)*(Z$3=CapexMonth)*CapexAmount)</f>
        <v>0</v>
      </c>
      <c r="AA9" s="239" cm="1">
        <f t="array" ref="AA9">SUMPRODUCT(($B9=CapexCategory)*(AA$3=CapexMonth)*CapexAmount)</f>
        <v>0</v>
      </c>
      <c r="AB9" s="239" cm="1">
        <f t="array" ref="AB9">SUMPRODUCT(($B9=CapexCategory)*(AB$3=CapexMonth)*CapexAmount)</f>
        <v>0</v>
      </c>
      <c r="AC9" s="239" cm="1">
        <f t="array" ref="AC9">SUMPRODUCT(($B9=CapexCategory)*(AC$3=CapexMonth)*CapexAmount)</f>
        <v>0</v>
      </c>
      <c r="AD9" s="239" cm="1">
        <f t="array" ref="AD9">SUMPRODUCT(($B9=CapexCategory)*(AD$3=CapexMonth)*CapexAmount)</f>
        <v>0</v>
      </c>
      <c r="AE9" s="239" cm="1">
        <f t="array" ref="AE9">SUMPRODUCT(($B9=CapexCategory)*(AE$3=CapexMonth)*CapexAmount)</f>
        <v>0</v>
      </c>
      <c r="AF9" s="239" cm="1">
        <f t="array" ref="AF9">SUMPRODUCT(($B9=CapexCategory)*(AF$3=CapexMonth)*CapexAmount)</f>
        <v>0</v>
      </c>
      <c r="AG9" s="239" cm="1">
        <f t="array" ref="AG9">SUMPRODUCT(($B9=CapexCategory)*(AG$3=CapexMonth)*CapexAmount)</f>
        <v>0</v>
      </c>
      <c r="AH9" s="237" cm="1">
        <f t="array" ref="AH9">SUMPRODUCT(($B9=CapexCategory)*(AH$3=CapexMonth)*CapexAmount)</f>
        <v>0</v>
      </c>
      <c r="AI9" s="117" cm="1">
        <f t="array" ref="AI9">SUMPRODUCT(($B9=CapexCategory)*(AI$3=CapexMonth)*CapexAmount)</f>
        <v>0</v>
      </c>
      <c r="AJ9" s="239" cm="1">
        <f t="array" ref="AJ9">SUMPRODUCT(($B9=CapexCategory)*(AJ$3=CapexMonth)*CapexAmount)</f>
        <v>0</v>
      </c>
      <c r="AK9" s="239" cm="1">
        <f t="array" ref="AK9">SUMPRODUCT(($B9=CapexCategory)*(AK$3=CapexMonth)*CapexAmount)</f>
        <v>0</v>
      </c>
      <c r="AL9" s="239" cm="1">
        <f t="array" ref="AL9">SUMPRODUCT(($B9=CapexCategory)*(AL$3=CapexMonth)*CapexAmount)</f>
        <v>0</v>
      </c>
      <c r="AM9" s="239" cm="1">
        <f t="array" ref="AM9">SUMPRODUCT(($B9=CapexCategory)*(AM$3=CapexMonth)*CapexAmount)</f>
        <v>0</v>
      </c>
      <c r="AN9" s="239" cm="1">
        <f t="array" ref="AN9">SUMPRODUCT(($B9=CapexCategory)*(AN$3=CapexMonth)*CapexAmount)</f>
        <v>0</v>
      </c>
      <c r="AO9" s="239" cm="1">
        <f t="array" ref="AO9">SUMPRODUCT(($B9=CapexCategory)*(AO$3=CapexMonth)*CapexAmount)</f>
        <v>0</v>
      </c>
      <c r="AP9" s="239" cm="1">
        <f t="array" ref="AP9">SUMPRODUCT(($B9=CapexCategory)*(AP$3=CapexMonth)*CapexAmount)</f>
        <v>0</v>
      </c>
      <c r="AQ9" s="239" cm="1">
        <f t="array" ref="AQ9">SUMPRODUCT(($B9=CapexCategory)*(AQ$3=CapexMonth)*CapexAmount)</f>
        <v>0</v>
      </c>
      <c r="AR9" s="239" cm="1">
        <f t="array" ref="AR9">SUMPRODUCT(($B9=CapexCategory)*(AR$3=CapexMonth)*CapexAmount)</f>
        <v>0</v>
      </c>
      <c r="AS9" s="239" cm="1">
        <f t="array" ref="AS9">SUMPRODUCT(($B9=CapexCategory)*(AS$3=CapexMonth)*CapexAmount)</f>
        <v>0</v>
      </c>
      <c r="AT9" s="237" cm="1">
        <f t="array" ref="AT9">SUMPRODUCT(($B9=CapexCategory)*(AT$3=CapexMonth)*CapexAmount)</f>
        <v>0</v>
      </c>
      <c r="AU9" s="117" cm="1">
        <f t="array" ref="AU9">SUMPRODUCT(($B9=CapexCategory)*(AU$3=CapexMonth)*CapexAmount)</f>
        <v>0</v>
      </c>
      <c r="AV9" s="239" cm="1">
        <f t="array" ref="AV9">SUMPRODUCT(($B9=CapexCategory)*(AV$3=CapexMonth)*CapexAmount)</f>
        <v>0</v>
      </c>
      <c r="AW9" s="239" cm="1">
        <f t="array" ref="AW9">SUMPRODUCT(($B9=CapexCategory)*(AW$3=CapexMonth)*CapexAmount)</f>
        <v>0</v>
      </c>
      <c r="AX9" s="239" cm="1">
        <f t="array" ref="AX9">SUMPRODUCT(($B9=CapexCategory)*(AX$3=CapexMonth)*CapexAmount)</f>
        <v>0</v>
      </c>
      <c r="AY9" s="239" cm="1">
        <f t="array" ref="AY9">SUMPRODUCT(($B9=CapexCategory)*(AY$3=CapexMonth)*CapexAmount)</f>
        <v>0</v>
      </c>
      <c r="AZ9" s="239" cm="1">
        <f t="array" ref="AZ9">SUMPRODUCT(($B9=CapexCategory)*(AZ$3=CapexMonth)*CapexAmount)</f>
        <v>0</v>
      </c>
      <c r="BA9" s="239" cm="1">
        <f t="array" ref="BA9">SUMPRODUCT(($B9=CapexCategory)*(BA$3=CapexMonth)*CapexAmount)</f>
        <v>0</v>
      </c>
      <c r="BB9" s="239" cm="1">
        <f t="array" ref="BB9">SUMPRODUCT(($B9=CapexCategory)*(BB$3=CapexMonth)*CapexAmount)</f>
        <v>0</v>
      </c>
      <c r="BC9" s="239" cm="1">
        <f t="array" ref="BC9">SUMPRODUCT(($B9=CapexCategory)*(BC$3=CapexMonth)*CapexAmount)</f>
        <v>0</v>
      </c>
      <c r="BD9" s="239" cm="1">
        <f t="array" ref="BD9">SUMPRODUCT(($B9=CapexCategory)*(BD$3=CapexMonth)*CapexAmount)</f>
        <v>0</v>
      </c>
      <c r="BE9" s="239" cm="1">
        <f t="array" ref="BE9">SUMPRODUCT(($B9=CapexCategory)*(BE$3=CapexMonth)*CapexAmount)</f>
        <v>0</v>
      </c>
      <c r="BF9" s="237" cm="1">
        <f t="array" ref="BF9">SUMPRODUCT(($B9=CapexCategory)*(BF$3=CapexMonth)*CapexAmount)</f>
        <v>0</v>
      </c>
      <c r="BG9" s="117" cm="1">
        <f t="array" ref="BG9">SUMPRODUCT(($B9=CapexCategory)*(BG$3=CapexMonth)*CapexAmount)</f>
        <v>0</v>
      </c>
      <c r="BH9" s="239" cm="1">
        <f t="array" ref="BH9">SUMPRODUCT(($B9=CapexCategory)*(BH$3=CapexMonth)*CapexAmount)</f>
        <v>0</v>
      </c>
      <c r="BI9" s="239" cm="1">
        <f t="array" ref="BI9">SUMPRODUCT(($B9=CapexCategory)*(BI$3=CapexMonth)*CapexAmount)</f>
        <v>0</v>
      </c>
      <c r="BJ9" s="239" cm="1">
        <f t="array" ref="BJ9">SUMPRODUCT(($B9=CapexCategory)*(BJ$3=CapexMonth)*CapexAmount)</f>
        <v>0</v>
      </c>
      <c r="BK9" s="239" cm="1">
        <f t="array" ref="BK9">SUMPRODUCT(($B9=CapexCategory)*(BK$3=CapexMonth)*CapexAmount)</f>
        <v>0</v>
      </c>
      <c r="BL9" s="239" cm="1">
        <f t="array" ref="BL9">SUMPRODUCT(($B9=CapexCategory)*(BL$3=CapexMonth)*CapexAmount)</f>
        <v>0</v>
      </c>
      <c r="BM9" s="239" cm="1">
        <f t="array" ref="BM9">SUMPRODUCT(($B9=CapexCategory)*(BM$3=CapexMonth)*CapexAmount)</f>
        <v>0</v>
      </c>
      <c r="BN9" s="239" cm="1">
        <f t="array" ref="BN9">SUMPRODUCT(($B9=CapexCategory)*(BN$3=CapexMonth)*CapexAmount)</f>
        <v>0</v>
      </c>
      <c r="BO9" s="239" cm="1">
        <f t="array" ref="BO9">SUMPRODUCT(($B9=CapexCategory)*(BO$3=CapexMonth)*CapexAmount)</f>
        <v>0</v>
      </c>
      <c r="BP9" s="239" cm="1">
        <f t="array" ref="BP9">SUMPRODUCT(($B9=CapexCategory)*(BP$3=CapexMonth)*CapexAmount)</f>
        <v>0</v>
      </c>
      <c r="BQ9" s="239" cm="1">
        <f t="array" ref="BQ9">SUMPRODUCT(($B9=CapexCategory)*(BQ$3=CapexMonth)*CapexAmount)</f>
        <v>0</v>
      </c>
      <c r="BR9" s="237" cm="1">
        <f t="array" ref="BR9">SUMPRODUCT(($B9=CapexCategory)*(BR$3=CapexMonth)*CapexAmount)</f>
        <v>0</v>
      </c>
    </row>
    <row r="10" spans="1:70" x14ac:dyDescent="0.3">
      <c r="A10" s="66"/>
      <c r="B10" s="161" t="s">
        <v>181</v>
      </c>
      <c r="C10" s="160"/>
      <c r="E10" s="240">
        <f t="shared" si="0"/>
        <v>0</v>
      </c>
      <c r="F10" s="240">
        <f t="shared" si="1"/>
        <v>10</v>
      </c>
      <c r="G10" s="240">
        <f t="shared" si="2"/>
        <v>0</v>
      </c>
      <c r="H10" s="240">
        <f t="shared" si="3"/>
        <v>0</v>
      </c>
      <c r="I10" s="240">
        <f t="shared" si="4"/>
        <v>0</v>
      </c>
      <c r="J10" s="238"/>
      <c r="K10" s="241" cm="1">
        <f t="array" ref="K10">SUMPRODUCT(  ((ISBLANK(CapexCategory) + (CapexCategory="Other"))&gt;0)  *  (K$3=CapexMonth)*CapexAmount)</f>
        <v>0</v>
      </c>
      <c r="L10" s="241" cm="1">
        <f t="array" ref="L10">SUMPRODUCT(  ((ISBLANK(CapexCategory) + (CapexCategory="Other"))&gt;0)  *  (L$3=CapexMonth)*CapexAmount)</f>
        <v>0</v>
      </c>
      <c r="M10" s="241" cm="1">
        <f t="array" ref="M10">SUMPRODUCT(  ((ISBLANK(CapexCategory) + (CapexCategory="Other"))&gt;0)  *  (M$3=CapexMonth)*CapexAmount)</f>
        <v>0</v>
      </c>
      <c r="N10" s="241" cm="1">
        <f t="array" ref="N10">SUMPRODUCT(  ((ISBLANK(CapexCategory) + (CapexCategory="Other"))&gt;0)  *  (N$3=CapexMonth)*CapexAmount)</f>
        <v>0</v>
      </c>
      <c r="O10" s="241" cm="1">
        <f t="array" ref="O10">SUMPRODUCT(  ((ISBLANK(CapexCategory) + (CapexCategory="Other"))&gt;0)  *  (O$3=CapexMonth)*CapexAmount)</f>
        <v>0</v>
      </c>
      <c r="P10" s="241" cm="1">
        <f t="array" ref="P10">SUMPRODUCT(  ((ISBLANK(CapexCategory) + (CapexCategory="Other"))&gt;0)  *  (P$3=CapexMonth)*CapexAmount)</f>
        <v>0</v>
      </c>
      <c r="Q10" s="241" cm="1">
        <f t="array" ref="Q10">SUMPRODUCT(  ((ISBLANK(CapexCategory) + (CapexCategory="Other"))&gt;0)  *  (Q$3=CapexMonth)*CapexAmount)</f>
        <v>0</v>
      </c>
      <c r="R10" s="241" cm="1">
        <f t="array" ref="R10">SUMPRODUCT(  ((ISBLANK(CapexCategory) + (CapexCategory="Other"))&gt;0)  *  (R$3=CapexMonth)*CapexAmount)</f>
        <v>0</v>
      </c>
      <c r="S10" s="241" cm="1">
        <f t="array" ref="S10">SUMPRODUCT(  ((ISBLANK(CapexCategory) + (CapexCategory="Other"))&gt;0)  *  (S$3=CapexMonth)*CapexAmount)</f>
        <v>0</v>
      </c>
      <c r="T10" s="241" cm="1">
        <f t="array" ref="T10">SUMPRODUCT(  ((ISBLANK(CapexCategory) + (CapexCategory="Other"))&gt;0)  *  (T$3=CapexMonth)*CapexAmount)</f>
        <v>0</v>
      </c>
      <c r="U10" s="241" cm="1">
        <f t="array" ref="U10">SUMPRODUCT(  ((ISBLANK(CapexCategory) + (CapexCategory="Other"))&gt;0)  *  (U$3=CapexMonth)*CapexAmount)</f>
        <v>0</v>
      </c>
      <c r="V10" s="242" cm="1">
        <f t="array" ref="V10">SUMPRODUCT(  ((ISBLANK(CapexCategory) + (CapexCategory="Other"))&gt;0)  *  (V$3=CapexMonth)*CapexAmount)</f>
        <v>0</v>
      </c>
      <c r="W10" s="241" cm="1">
        <f t="array" ref="W10">SUMPRODUCT(  ((ISBLANK(CapexCategory) + (CapexCategory="Other"))&gt;0)  *  (W$3=CapexMonth)*CapexAmount)</f>
        <v>0</v>
      </c>
      <c r="X10" s="241" cm="1">
        <f t="array" ref="X10">SUMPRODUCT(  ((ISBLANK(CapexCategory) + (CapexCategory="Other"))&gt;0)  *  (X$3=CapexMonth)*CapexAmount)</f>
        <v>0</v>
      </c>
      <c r="Y10" s="241" cm="1">
        <f t="array" ref="Y10">SUMPRODUCT(  ((ISBLANK(CapexCategory) + (CapexCategory="Other"))&gt;0)  *  (Y$3=CapexMonth)*CapexAmount)</f>
        <v>0</v>
      </c>
      <c r="Z10" s="241" cm="1">
        <f t="array" ref="Z10">SUMPRODUCT(  ((ISBLANK(CapexCategory) + (CapexCategory="Other"))&gt;0)  *  (Z$3=CapexMonth)*CapexAmount)</f>
        <v>0</v>
      </c>
      <c r="AA10" s="241" cm="1">
        <f t="array" ref="AA10">SUMPRODUCT(  ((ISBLANK(CapexCategory) + (CapexCategory="Other"))&gt;0)  *  (AA$3=CapexMonth)*CapexAmount)</f>
        <v>0</v>
      </c>
      <c r="AB10" s="241" cm="1">
        <f t="array" ref="AB10">SUMPRODUCT(  ((ISBLANK(CapexCategory) + (CapexCategory="Other"))&gt;0)  *  (AB$3=CapexMonth)*CapexAmount)</f>
        <v>10</v>
      </c>
      <c r="AC10" s="241" cm="1">
        <f t="array" ref="AC10">SUMPRODUCT(  ((ISBLANK(CapexCategory) + (CapexCategory="Other"))&gt;0)  *  (AC$3=CapexMonth)*CapexAmount)</f>
        <v>0</v>
      </c>
      <c r="AD10" s="241" cm="1">
        <f t="array" ref="AD10">SUMPRODUCT(  ((ISBLANK(CapexCategory) + (CapexCategory="Other"))&gt;0)  *  (AD$3=CapexMonth)*CapexAmount)</f>
        <v>0</v>
      </c>
      <c r="AE10" s="241" cm="1">
        <f t="array" ref="AE10">SUMPRODUCT(  ((ISBLANK(CapexCategory) + (CapexCategory="Other"))&gt;0)  *  (AE$3=CapexMonth)*CapexAmount)</f>
        <v>0</v>
      </c>
      <c r="AF10" s="241" cm="1">
        <f t="array" ref="AF10">SUMPRODUCT(  ((ISBLANK(CapexCategory) + (CapexCategory="Other"))&gt;0)  *  (AF$3=CapexMonth)*CapexAmount)</f>
        <v>0</v>
      </c>
      <c r="AG10" s="241" cm="1">
        <f t="array" ref="AG10">SUMPRODUCT(  ((ISBLANK(CapexCategory) + (CapexCategory="Other"))&gt;0)  *  (AG$3=CapexMonth)*CapexAmount)</f>
        <v>0</v>
      </c>
      <c r="AH10" s="242" cm="1">
        <f t="array" ref="AH10">SUMPRODUCT(  ((ISBLANK(CapexCategory) + (CapexCategory="Other"))&gt;0)  *  (AH$3=CapexMonth)*CapexAmount)</f>
        <v>0</v>
      </c>
      <c r="AI10" s="241" cm="1">
        <f t="array" ref="AI10">SUMPRODUCT(  ((ISBLANK(CapexCategory) + (CapexCategory="Other"))&gt;0)  *  (AI$3=CapexMonth)*CapexAmount)</f>
        <v>0</v>
      </c>
      <c r="AJ10" s="241" cm="1">
        <f t="array" ref="AJ10">SUMPRODUCT(  ((ISBLANK(CapexCategory) + (CapexCategory="Other"))&gt;0)  *  (AJ$3=CapexMonth)*CapexAmount)</f>
        <v>0</v>
      </c>
      <c r="AK10" s="241" cm="1">
        <f t="array" ref="AK10">SUMPRODUCT(  ((ISBLANK(CapexCategory) + (CapexCategory="Other"))&gt;0)  *  (AK$3=CapexMonth)*CapexAmount)</f>
        <v>0</v>
      </c>
      <c r="AL10" s="241" cm="1">
        <f t="array" ref="AL10">SUMPRODUCT(  ((ISBLANK(CapexCategory) + (CapexCategory="Other"))&gt;0)  *  (AL$3=CapexMonth)*CapexAmount)</f>
        <v>0</v>
      </c>
      <c r="AM10" s="241" cm="1">
        <f t="array" ref="AM10">SUMPRODUCT(  ((ISBLANK(CapexCategory) + (CapexCategory="Other"))&gt;0)  *  (AM$3=CapexMonth)*CapexAmount)</f>
        <v>0</v>
      </c>
      <c r="AN10" s="241" cm="1">
        <f t="array" ref="AN10">SUMPRODUCT(  ((ISBLANK(CapexCategory) + (CapexCategory="Other"))&gt;0)  *  (AN$3=CapexMonth)*CapexAmount)</f>
        <v>0</v>
      </c>
      <c r="AO10" s="241" cm="1">
        <f t="array" ref="AO10">SUMPRODUCT(  ((ISBLANK(CapexCategory) + (CapexCategory="Other"))&gt;0)  *  (AO$3=CapexMonth)*CapexAmount)</f>
        <v>0</v>
      </c>
      <c r="AP10" s="241" cm="1">
        <f t="array" ref="AP10">SUMPRODUCT(  ((ISBLANK(CapexCategory) + (CapexCategory="Other"))&gt;0)  *  (AP$3=CapexMonth)*CapexAmount)</f>
        <v>0</v>
      </c>
      <c r="AQ10" s="241" cm="1">
        <f t="array" ref="AQ10">SUMPRODUCT(  ((ISBLANK(CapexCategory) + (CapexCategory="Other"))&gt;0)  *  (AQ$3=CapexMonth)*CapexAmount)</f>
        <v>0</v>
      </c>
      <c r="AR10" s="241" cm="1">
        <f t="array" ref="AR10">SUMPRODUCT(  ((ISBLANK(CapexCategory) + (CapexCategory="Other"))&gt;0)  *  (AR$3=CapexMonth)*CapexAmount)</f>
        <v>0</v>
      </c>
      <c r="AS10" s="241" cm="1">
        <f t="array" ref="AS10">SUMPRODUCT(  ((ISBLANK(CapexCategory) + (CapexCategory="Other"))&gt;0)  *  (AS$3=CapexMonth)*CapexAmount)</f>
        <v>0</v>
      </c>
      <c r="AT10" s="242" cm="1">
        <f t="array" ref="AT10">SUMPRODUCT(  ((ISBLANK(CapexCategory) + (CapexCategory="Other"))&gt;0)  *  (AT$3=CapexMonth)*CapexAmount)</f>
        <v>0</v>
      </c>
      <c r="AU10" s="241" cm="1">
        <f t="array" ref="AU10">SUMPRODUCT(  ((ISBLANK(CapexCategory) + (CapexCategory="Other"))&gt;0)  *  (AU$3=CapexMonth)*CapexAmount)</f>
        <v>0</v>
      </c>
      <c r="AV10" s="241" cm="1">
        <f t="array" ref="AV10">SUMPRODUCT(  ((ISBLANK(CapexCategory) + (CapexCategory="Other"))&gt;0)  *  (AV$3=CapexMonth)*CapexAmount)</f>
        <v>0</v>
      </c>
      <c r="AW10" s="241" cm="1">
        <f t="array" ref="AW10">SUMPRODUCT(  ((ISBLANK(CapexCategory) + (CapexCategory="Other"))&gt;0)  *  (AW$3=CapexMonth)*CapexAmount)</f>
        <v>0</v>
      </c>
      <c r="AX10" s="241" cm="1">
        <f t="array" ref="AX10">SUMPRODUCT(  ((ISBLANK(CapexCategory) + (CapexCategory="Other"))&gt;0)  *  (AX$3=CapexMonth)*CapexAmount)</f>
        <v>0</v>
      </c>
      <c r="AY10" s="241" cm="1">
        <f t="array" ref="AY10">SUMPRODUCT(  ((ISBLANK(CapexCategory) + (CapexCategory="Other"))&gt;0)  *  (AY$3=CapexMonth)*CapexAmount)</f>
        <v>0</v>
      </c>
      <c r="AZ10" s="241" cm="1">
        <f t="array" ref="AZ10">SUMPRODUCT(  ((ISBLANK(CapexCategory) + (CapexCategory="Other"))&gt;0)  *  (AZ$3=CapexMonth)*CapexAmount)</f>
        <v>0</v>
      </c>
      <c r="BA10" s="241" cm="1">
        <f t="array" ref="BA10">SUMPRODUCT(  ((ISBLANK(CapexCategory) + (CapexCategory="Other"))&gt;0)  *  (BA$3=CapexMonth)*CapexAmount)</f>
        <v>0</v>
      </c>
      <c r="BB10" s="241" cm="1">
        <f t="array" ref="BB10">SUMPRODUCT(  ((ISBLANK(CapexCategory) + (CapexCategory="Other"))&gt;0)  *  (BB$3=CapexMonth)*CapexAmount)</f>
        <v>0</v>
      </c>
      <c r="BC10" s="241" cm="1">
        <f t="array" ref="BC10">SUMPRODUCT(  ((ISBLANK(CapexCategory) + (CapexCategory="Other"))&gt;0)  *  (BC$3=CapexMonth)*CapexAmount)</f>
        <v>0</v>
      </c>
      <c r="BD10" s="241" cm="1">
        <f t="array" ref="BD10">SUMPRODUCT(  ((ISBLANK(CapexCategory) + (CapexCategory="Other"))&gt;0)  *  (BD$3=CapexMonth)*CapexAmount)</f>
        <v>0</v>
      </c>
      <c r="BE10" s="241" cm="1">
        <f t="array" ref="BE10">SUMPRODUCT(  ((ISBLANK(CapexCategory) + (CapexCategory="Other"))&gt;0)  *  (BE$3=CapexMonth)*CapexAmount)</f>
        <v>0</v>
      </c>
      <c r="BF10" s="242" cm="1">
        <f t="array" ref="BF10">SUMPRODUCT(  ((ISBLANK(CapexCategory) + (CapexCategory="Other"))&gt;0)  *  (BF$3=CapexMonth)*CapexAmount)</f>
        <v>0</v>
      </c>
      <c r="BG10" s="241" cm="1">
        <f t="array" ref="BG10">SUMPRODUCT(  ((ISBLANK(CapexCategory) + (CapexCategory="Other"))&gt;0)  *  (BG$3=CapexMonth)*CapexAmount)</f>
        <v>0</v>
      </c>
      <c r="BH10" s="241" cm="1">
        <f t="array" ref="BH10">SUMPRODUCT(  ((ISBLANK(CapexCategory) + (CapexCategory="Other"))&gt;0)  *  (BH$3=CapexMonth)*CapexAmount)</f>
        <v>0</v>
      </c>
      <c r="BI10" s="241" cm="1">
        <f t="array" ref="BI10">SUMPRODUCT(  ((ISBLANK(CapexCategory) + (CapexCategory="Other"))&gt;0)  *  (BI$3=CapexMonth)*CapexAmount)</f>
        <v>0</v>
      </c>
      <c r="BJ10" s="241" cm="1">
        <f t="array" ref="BJ10">SUMPRODUCT(  ((ISBLANK(CapexCategory) + (CapexCategory="Other"))&gt;0)  *  (BJ$3=CapexMonth)*CapexAmount)</f>
        <v>0</v>
      </c>
      <c r="BK10" s="241" cm="1">
        <f t="array" ref="BK10">SUMPRODUCT(  ((ISBLANK(CapexCategory) + (CapexCategory="Other"))&gt;0)  *  (BK$3=CapexMonth)*CapexAmount)</f>
        <v>0</v>
      </c>
      <c r="BL10" s="241" cm="1">
        <f t="array" ref="BL10">SUMPRODUCT(  ((ISBLANK(CapexCategory) + (CapexCategory="Other"))&gt;0)  *  (BL$3=CapexMonth)*CapexAmount)</f>
        <v>0</v>
      </c>
      <c r="BM10" s="241" cm="1">
        <f t="array" ref="BM10">SUMPRODUCT(  ((ISBLANK(CapexCategory) + (CapexCategory="Other"))&gt;0)  *  (BM$3=CapexMonth)*CapexAmount)</f>
        <v>0</v>
      </c>
      <c r="BN10" s="241" cm="1">
        <f t="array" ref="BN10">SUMPRODUCT(  ((ISBLANK(CapexCategory) + (CapexCategory="Other"))&gt;0)  *  (BN$3=CapexMonth)*CapexAmount)</f>
        <v>0</v>
      </c>
      <c r="BO10" s="241" cm="1">
        <f t="array" ref="BO10">SUMPRODUCT(  ((ISBLANK(CapexCategory) + (CapexCategory="Other"))&gt;0)  *  (BO$3=CapexMonth)*CapexAmount)</f>
        <v>0</v>
      </c>
      <c r="BP10" s="241" cm="1">
        <f t="array" ref="BP10">SUMPRODUCT(  ((ISBLANK(CapexCategory) + (CapexCategory="Other"))&gt;0)  *  (BP$3=CapexMonth)*CapexAmount)</f>
        <v>0</v>
      </c>
      <c r="BQ10" s="241" cm="1">
        <f t="array" ref="BQ10">SUMPRODUCT(  ((ISBLANK(CapexCategory) + (CapexCategory="Other"))&gt;0)  *  (BQ$3=CapexMonth)*CapexAmount)</f>
        <v>0</v>
      </c>
      <c r="BR10" s="242" cm="1">
        <f t="array" ref="BR10">SUMPRODUCT(  ((ISBLANK(CapexCategory) + (CapexCategory="Other"))&gt;0)  *  (BR$3=CapexMonth)*CapexAmount)</f>
        <v>0</v>
      </c>
    </row>
    <row r="11" spans="1:70" s="323" customFormat="1" x14ac:dyDescent="0.3">
      <c r="A11" s="6"/>
      <c r="B11" s="162" t="s">
        <v>166</v>
      </c>
      <c r="C11" s="163"/>
      <c r="D11" s="93"/>
      <c r="E11" s="294">
        <f t="shared" si="0"/>
        <v>440</v>
      </c>
      <c r="F11" s="294">
        <f t="shared" si="1"/>
        <v>10</v>
      </c>
      <c r="G11" s="294">
        <f t="shared" si="2"/>
        <v>0</v>
      </c>
      <c r="H11" s="294">
        <f t="shared" si="3"/>
        <v>0</v>
      </c>
      <c r="I11" s="294">
        <f t="shared" si="4"/>
        <v>0</v>
      </c>
      <c r="J11" s="238"/>
      <c r="K11" s="238">
        <f t="shared" ref="K11:BR11" si="5">SUM(K5:K10)</f>
        <v>40</v>
      </c>
      <c r="L11" s="238">
        <f t="shared" si="5"/>
        <v>0</v>
      </c>
      <c r="M11" s="238">
        <f t="shared" si="5"/>
        <v>0</v>
      </c>
      <c r="N11" s="238">
        <f t="shared" si="5"/>
        <v>250</v>
      </c>
      <c r="O11" s="238">
        <f t="shared" si="5"/>
        <v>0</v>
      </c>
      <c r="P11" s="238">
        <f t="shared" si="5"/>
        <v>100</v>
      </c>
      <c r="Q11" s="238">
        <f t="shared" si="5"/>
        <v>0</v>
      </c>
      <c r="R11" s="238">
        <f t="shared" si="5"/>
        <v>50</v>
      </c>
      <c r="S11" s="238">
        <f t="shared" si="5"/>
        <v>0</v>
      </c>
      <c r="T11" s="238">
        <f t="shared" si="5"/>
        <v>0</v>
      </c>
      <c r="U11" s="238">
        <f t="shared" si="5"/>
        <v>0</v>
      </c>
      <c r="V11" s="245">
        <f t="shared" si="5"/>
        <v>0</v>
      </c>
      <c r="W11" s="238">
        <f t="shared" si="5"/>
        <v>0</v>
      </c>
      <c r="X11" s="238">
        <f t="shared" si="5"/>
        <v>0</v>
      </c>
      <c r="Y11" s="238">
        <f t="shared" si="5"/>
        <v>0</v>
      </c>
      <c r="Z11" s="238">
        <f t="shared" si="5"/>
        <v>0</v>
      </c>
      <c r="AA11" s="238">
        <f t="shared" si="5"/>
        <v>0</v>
      </c>
      <c r="AB11" s="238">
        <f t="shared" si="5"/>
        <v>10</v>
      </c>
      <c r="AC11" s="238">
        <f t="shared" si="5"/>
        <v>0</v>
      </c>
      <c r="AD11" s="238">
        <f t="shared" si="5"/>
        <v>0</v>
      </c>
      <c r="AE11" s="238">
        <f t="shared" si="5"/>
        <v>0</v>
      </c>
      <c r="AF11" s="238">
        <f t="shared" si="5"/>
        <v>0</v>
      </c>
      <c r="AG11" s="238">
        <f t="shared" si="5"/>
        <v>0</v>
      </c>
      <c r="AH11" s="245">
        <f t="shared" si="5"/>
        <v>0</v>
      </c>
      <c r="AI11" s="238">
        <f t="shared" si="5"/>
        <v>0</v>
      </c>
      <c r="AJ11" s="238">
        <f t="shared" si="5"/>
        <v>0</v>
      </c>
      <c r="AK11" s="238">
        <f t="shared" si="5"/>
        <v>0</v>
      </c>
      <c r="AL11" s="238">
        <f t="shared" si="5"/>
        <v>0</v>
      </c>
      <c r="AM11" s="238">
        <f t="shared" si="5"/>
        <v>0</v>
      </c>
      <c r="AN11" s="238">
        <f t="shared" si="5"/>
        <v>0</v>
      </c>
      <c r="AO11" s="238">
        <f t="shared" si="5"/>
        <v>0</v>
      </c>
      <c r="AP11" s="238">
        <f t="shared" si="5"/>
        <v>0</v>
      </c>
      <c r="AQ11" s="238">
        <f t="shared" si="5"/>
        <v>0</v>
      </c>
      <c r="AR11" s="238">
        <f t="shared" si="5"/>
        <v>0</v>
      </c>
      <c r="AS11" s="238">
        <f t="shared" si="5"/>
        <v>0</v>
      </c>
      <c r="AT11" s="245">
        <f t="shared" si="5"/>
        <v>0</v>
      </c>
      <c r="AU11" s="238">
        <f t="shared" si="5"/>
        <v>0</v>
      </c>
      <c r="AV11" s="238">
        <f t="shared" si="5"/>
        <v>0</v>
      </c>
      <c r="AW11" s="238">
        <f t="shared" si="5"/>
        <v>0</v>
      </c>
      <c r="AX11" s="238">
        <f t="shared" si="5"/>
        <v>0</v>
      </c>
      <c r="AY11" s="238">
        <f t="shared" si="5"/>
        <v>0</v>
      </c>
      <c r="AZ11" s="238">
        <f t="shared" si="5"/>
        <v>0</v>
      </c>
      <c r="BA11" s="238">
        <f t="shared" si="5"/>
        <v>0</v>
      </c>
      <c r="BB11" s="238">
        <f t="shared" si="5"/>
        <v>0</v>
      </c>
      <c r="BC11" s="238">
        <f t="shared" si="5"/>
        <v>0</v>
      </c>
      <c r="BD11" s="238">
        <f t="shared" si="5"/>
        <v>0</v>
      </c>
      <c r="BE11" s="238">
        <f t="shared" si="5"/>
        <v>0</v>
      </c>
      <c r="BF11" s="245">
        <f t="shared" si="5"/>
        <v>0</v>
      </c>
      <c r="BG11" s="238">
        <f t="shared" si="5"/>
        <v>0</v>
      </c>
      <c r="BH11" s="238">
        <f t="shared" si="5"/>
        <v>0</v>
      </c>
      <c r="BI11" s="238">
        <f t="shared" si="5"/>
        <v>0</v>
      </c>
      <c r="BJ11" s="238">
        <f t="shared" si="5"/>
        <v>0</v>
      </c>
      <c r="BK11" s="238">
        <f t="shared" si="5"/>
        <v>0</v>
      </c>
      <c r="BL11" s="238">
        <f t="shared" si="5"/>
        <v>0</v>
      </c>
      <c r="BM11" s="238">
        <f t="shared" si="5"/>
        <v>0</v>
      </c>
      <c r="BN11" s="238">
        <f t="shared" si="5"/>
        <v>0</v>
      </c>
      <c r="BO11" s="238">
        <f t="shared" si="5"/>
        <v>0</v>
      </c>
      <c r="BP11" s="238">
        <f t="shared" si="5"/>
        <v>0</v>
      </c>
      <c r="BQ11" s="238">
        <f t="shared" si="5"/>
        <v>0</v>
      </c>
      <c r="BR11" s="245">
        <f t="shared" si="5"/>
        <v>0</v>
      </c>
    </row>
    <row r="12" spans="1:70" ht="6" customHeight="1" x14ac:dyDescent="0.35">
      <c r="E12" s="321"/>
      <c r="F12" s="321"/>
      <c r="G12" s="321"/>
      <c r="H12" s="321"/>
      <c r="I12" s="321"/>
      <c r="J12" s="321"/>
      <c r="K12" s="321"/>
      <c r="L12" s="321"/>
      <c r="M12" s="321"/>
      <c r="N12" s="321"/>
      <c r="O12" s="321"/>
      <c r="P12" s="321"/>
      <c r="Q12" s="321"/>
      <c r="R12" s="321"/>
      <c r="S12" s="321"/>
      <c r="T12" s="321"/>
      <c r="U12" s="321"/>
      <c r="V12" s="321"/>
      <c r="W12" s="321"/>
      <c r="X12" s="321"/>
      <c r="Y12" s="321"/>
      <c r="Z12" s="321"/>
      <c r="AA12" s="321"/>
      <c r="AB12" s="321"/>
      <c r="AC12" s="321"/>
      <c r="AD12" s="321"/>
      <c r="AE12" s="321"/>
      <c r="AF12" s="321"/>
      <c r="AG12" s="321"/>
      <c r="AH12" s="321"/>
      <c r="AI12" s="321"/>
      <c r="AJ12" s="321"/>
      <c r="AK12" s="321"/>
      <c r="AL12" s="321"/>
      <c r="AM12" s="321"/>
      <c r="AN12" s="321"/>
      <c r="AO12" s="321"/>
      <c r="AP12" s="321"/>
      <c r="AQ12" s="321"/>
      <c r="AR12" s="321"/>
      <c r="AS12" s="321"/>
      <c r="AT12" s="321"/>
      <c r="AU12" s="321"/>
      <c r="AV12" s="321"/>
      <c r="AW12" s="321"/>
      <c r="AX12" s="321"/>
      <c r="AY12" s="321"/>
      <c r="AZ12" s="321"/>
      <c r="BA12" s="321"/>
      <c r="BB12" s="321"/>
      <c r="BC12" s="321"/>
      <c r="BD12" s="321"/>
      <c r="BE12" s="321"/>
      <c r="BF12" s="321"/>
      <c r="BG12" s="321"/>
      <c r="BH12" s="321"/>
      <c r="BI12" s="321"/>
      <c r="BJ12" s="321"/>
      <c r="BK12" s="321"/>
      <c r="BL12" s="321"/>
      <c r="BM12" s="321"/>
      <c r="BN12" s="321"/>
      <c r="BO12" s="321"/>
      <c r="BP12" s="321"/>
      <c r="BQ12" s="321"/>
      <c r="BR12" s="321"/>
    </row>
    <row r="13" spans="1:70" x14ac:dyDescent="0.3">
      <c r="A13" s="164"/>
      <c r="B13" s="159" t="s">
        <v>47</v>
      </c>
      <c r="C13" s="185"/>
      <c r="D13" s="93"/>
      <c r="E13" s="237">
        <f>SUM(K13:V13)</f>
        <v>83.333333333333343</v>
      </c>
      <c r="F13" s="237">
        <f>SUM(W13:AH13)</f>
        <v>74.074074074074076</v>
      </c>
      <c r="G13" s="237">
        <f>SUM(AI13:AT13)</f>
        <v>0</v>
      </c>
      <c r="H13" s="237">
        <f>SUM(AU13:BF13)</f>
        <v>0</v>
      </c>
      <c r="I13" s="237">
        <f>SUM(BG13:BR13)</f>
        <v>0</v>
      </c>
      <c r="J13" s="238"/>
      <c r="K13" s="117" cm="1">
        <f t="array" ref="K13">SUMPRODUCT(( $B13=CapexCategory)*(K$3&gt;=CapexMonth)*(K$3&lt;=SalOff)*DepExp)</f>
        <v>0</v>
      </c>
      <c r="L13" s="117" cm="1">
        <f t="array" ref="L13">SUMPRODUCT(( $B13=CapexCategory)*(L$3&gt;=CapexMonth)*(L$3&lt;=SalOff)*DepExp)</f>
        <v>0</v>
      </c>
      <c r="M13" s="117" cm="1">
        <f t="array" ref="M13">SUMPRODUCT(( $B13=CapexCategory)*(M$3&gt;=CapexMonth)*(M$3&lt;=SalOff)*DepExp)</f>
        <v>0</v>
      </c>
      <c r="N13" s="117" cm="1">
        <f t="array" ref="N13">SUMPRODUCT(( $B13=CapexCategory)*(N$3&gt;=CapexMonth)*(N$3&lt;=SalOff)*DepExp)</f>
        <v>9.2592592592592595</v>
      </c>
      <c r="O13" s="117" cm="1">
        <f t="array" ref="O13">SUMPRODUCT(( $B13=CapexCategory)*(O$3&gt;=CapexMonth)*(O$3&lt;=SalOff)*DepExp)</f>
        <v>9.2592592592592595</v>
      </c>
      <c r="P13" s="117" cm="1">
        <f t="array" ref="P13">SUMPRODUCT(( $B13=CapexCategory)*(P$3&gt;=CapexMonth)*(P$3&lt;=SalOff)*DepExp)</f>
        <v>9.2592592592592595</v>
      </c>
      <c r="Q13" s="117" cm="1">
        <f t="array" ref="Q13">SUMPRODUCT(( $B13=CapexCategory)*(Q$3&gt;=CapexMonth)*(Q$3&lt;=SalOff)*DepExp)</f>
        <v>9.2592592592592595</v>
      </c>
      <c r="R13" s="117" cm="1">
        <f t="array" ref="R13">SUMPRODUCT(( $B13=CapexCategory)*(R$3&gt;=CapexMonth)*(R$3&lt;=SalOff)*DepExp)</f>
        <v>9.2592592592592595</v>
      </c>
      <c r="S13" s="117" cm="1">
        <f t="array" ref="S13">SUMPRODUCT(( $B13=CapexCategory)*(S$3&gt;=CapexMonth)*(S$3&lt;=SalOff)*DepExp)</f>
        <v>9.2592592592592595</v>
      </c>
      <c r="T13" s="117" cm="1">
        <f t="array" ref="T13">SUMPRODUCT(( $B13=CapexCategory)*(T$3&gt;=CapexMonth)*(T$3&lt;=SalOff)*DepExp)</f>
        <v>9.2592592592592595</v>
      </c>
      <c r="U13" s="117" cm="1">
        <f t="array" ref="U13">SUMPRODUCT(( $B13=CapexCategory)*(U$3&gt;=CapexMonth)*(U$3&lt;=SalOff)*DepExp)</f>
        <v>9.2592592592592595</v>
      </c>
      <c r="V13" s="237" cm="1">
        <f t="array" ref="V13">SUMPRODUCT(( $B13=CapexCategory)*(V$3&gt;=CapexMonth)*(V$3&lt;=SalOff)*DepExp)</f>
        <v>9.2592592592592595</v>
      </c>
      <c r="W13" s="117" cm="1">
        <f t="array" ref="W13">SUMPRODUCT(( $B13=CapexCategory)*(W$3&gt;=CapexMonth)*(W$3&lt;=SalOff)*DepExp)</f>
        <v>9.2592592592592595</v>
      </c>
      <c r="X13" s="117" cm="1">
        <f t="array" ref="X13">SUMPRODUCT(( $B13=CapexCategory)*(X$3&gt;=CapexMonth)*(X$3&lt;=SalOff)*DepExp)</f>
        <v>9.2592592592592595</v>
      </c>
      <c r="Y13" s="117" cm="1">
        <f t="array" ref="Y13">SUMPRODUCT(( $B13=CapexCategory)*(Y$3&gt;=CapexMonth)*(Y$3&lt;=SalOff)*DepExp)</f>
        <v>9.2592592592592595</v>
      </c>
      <c r="Z13" s="117" cm="1">
        <f t="array" ref="Z13">SUMPRODUCT(( $B13=CapexCategory)*(Z$3&gt;=CapexMonth)*(Z$3&lt;=SalOff)*DepExp)</f>
        <v>9.2592592592592595</v>
      </c>
      <c r="AA13" s="117" cm="1">
        <f t="array" ref="AA13">SUMPRODUCT(( $B13=CapexCategory)*(AA$3&gt;=CapexMonth)*(AA$3&lt;=SalOff)*DepExp)</f>
        <v>9.2592592592592595</v>
      </c>
      <c r="AB13" s="117" cm="1">
        <f t="array" ref="AB13">SUMPRODUCT(( $B13=CapexCategory)*(AB$3&gt;=CapexMonth)*(AB$3&lt;=SalOff)*DepExp)</f>
        <v>9.2592592592592595</v>
      </c>
      <c r="AC13" s="117" cm="1">
        <f t="array" ref="AC13">SUMPRODUCT(( $B13=CapexCategory)*(AC$3&gt;=CapexMonth)*(AC$3&lt;=SalOff)*DepExp)</f>
        <v>9.2592592592592595</v>
      </c>
      <c r="AD13" s="117" cm="1">
        <f t="array" ref="AD13">SUMPRODUCT(( $B13=CapexCategory)*(AD$3&gt;=CapexMonth)*(AD$3&lt;=SalOff)*DepExp)</f>
        <v>9.2592592592592595</v>
      </c>
      <c r="AE13" s="117" cm="1">
        <f t="array" ref="AE13">SUMPRODUCT(( $B13=CapexCategory)*(AE$3&gt;=CapexMonth)*(AE$3&lt;=SalOff)*DepExp)</f>
        <v>0</v>
      </c>
      <c r="AF13" s="117" cm="1">
        <f t="array" ref="AF13">SUMPRODUCT(( $B13=CapexCategory)*(AF$3&gt;=CapexMonth)*(AF$3&lt;=SalOff)*DepExp)</f>
        <v>0</v>
      </c>
      <c r="AG13" s="117" cm="1">
        <f t="array" ref="AG13">SUMPRODUCT(( $B13=CapexCategory)*(AG$3&gt;=CapexMonth)*(AG$3&lt;=SalOff)*DepExp)</f>
        <v>0</v>
      </c>
      <c r="AH13" s="237" cm="1">
        <f t="array" ref="AH13">SUMPRODUCT(( $B13=CapexCategory)*(AH$3&gt;=CapexMonth)*(AH$3&lt;=SalOff)*DepExp)</f>
        <v>0</v>
      </c>
      <c r="AI13" s="117" cm="1">
        <f t="array" ref="AI13">SUMPRODUCT(( $B13=CapexCategory)*(AI$3&gt;=CapexMonth)*(AI$3&lt;=SalOff)*DepExp)</f>
        <v>0</v>
      </c>
      <c r="AJ13" s="117" cm="1">
        <f t="array" ref="AJ13">SUMPRODUCT(( $B13=CapexCategory)*(AJ$3&gt;=CapexMonth)*(AJ$3&lt;=SalOff)*DepExp)</f>
        <v>0</v>
      </c>
      <c r="AK13" s="117" cm="1">
        <f t="array" ref="AK13">SUMPRODUCT(( $B13=CapexCategory)*(AK$3&gt;=CapexMonth)*(AK$3&lt;=SalOff)*DepExp)</f>
        <v>0</v>
      </c>
      <c r="AL13" s="117" cm="1">
        <f t="array" ref="AL13">SUMPRODUCT(( $B13=CapexCategory)*(AL$3&gt;=CapexMonth)*(AL$3&lt;=SalOff)*DepExp)</f>
        <v>0</v>
      </c>
      <c r="AM13" s="117" cm="1">
        <f t="array" ref="AM13">SUMPRODUCT(( $B13=CapexCategory)*(AM$3&gt;=CapexMonth)*(AM$3&lt;=SalOff)*DepExp)</f>
        <v>0</v>
      </c>
      <c r="AN13" s="117" cm="1">
        <f t="array" ref="AN13">SUMPRODUCT(( $B13=CapexCategory)*(AN$3&gt;=CapexMonth)*(AN$3&lt;=SalOff)*DepExp)</f>
        <v>0</v>
      </c>
      <c r="AO13" s="117" cm="1">
        <f t="array" ref="AO13">SUMPRODUCT(( $B13=CapexCategory)*(AO$3&gt;=CapexMonth)*(AO$3&lt;=SalOff)*DepExp)</f>
        <v>0</v>
      </c>
      <c r="AP13" s="117" cm="1">
        <f t="array" ref="AP13">SUMPRODUCT(( $B13=CapexCategory)*(AP$3&gt;=CapexMonth)*(AP$3&lt;=SalOff)*DepExp)</f>
        <v>0</v>
      </c>
      <c r="AQ13" s="117" cm="1">
        <f t="array" ref="AQ13">SUMPRODUCT(( $B13=CapexCategory)*(AQ$3&gt;=CapexMonth)*(AQ$3&lt;=SalOff)*DepExp)</f>
        <v>0</v>
      </c>
      <c r="AR13" s="117" cm="1">
        <f t="array" ref="AR13">SUMPRODUCT(( $B13=CapexCategory)*(AR$3&gt;=CapexMonth)*(AR$3&lt;=SalOff)*DepExp)</f>
        <v>0</v>
      </c>
      <c r="AS13" s="117" cm="1">
        <f t="array" ref="AS13">SUMPRODUCT(( $B13=CapexCategory)*(AS$3&gt;=CapexMonth)*(AS$3&lt;=SalOff)*DepExp)</f>
        <v>0</v>
      </c>
      <c r="AT13" s="237" cm="1">
        <f t="array" ref="AT13">SUMPRODUCT(( $B13=CapexCategory)*(AT$3&gt;=CapexMonth)*(AT$3&lt;=SalOff)*DepExp)</f>
        <v>0</v>
      </c>
      <c r="AU13" s="117" cm="1">
        <f t="array" ref="AU13">SUMPRODUCT(( $B13=CapexCategory)*(AU$3&gt;=CapexMonth)*(AU$3&lt;=SalOff)*DepExp)</f>
        <v>0</v>
      </c>
      <c r="AV13" s="117" cm="1">
        <f t="array" ref="AV13">SUMPRODUCT(( $B13=CapexCategory)*(AV$3&gt;=CapexMonth)*(AV$3&lt;=SalOff)*DepExp)</f>
        <v>0</v>
      </c>
      <c r="AW13" s="117" cm="1">
        <f t="array" ref="AW13">SUMPRODUCT(( $B13=CapexCategory)*(AW$3&gt;=CapexMonth)*(AW$3&lt;=SalOff)*DepExp)</f>
        <v>0</v>
      </c>
      <c r="AX13" s="117" cm="1">
        <f t="array" ref="AX13">SUMPRODUCT(( $B13=CapexCategory)*(AX$3&gt;=CapexMonth)*(AX$3&lt;=SalOff)*DepExp)</f>
        <v>0</v>
      </c>
      <c r="AY13" s="117" cm="1">
        <f t="array" ref="AY13">SUMPRODUCT(( $B13=CapexCategory)*(AY$3&gt;=CapexMonth)*(AY$3&lt;=SalOff)*DepExp)</f>
        <v>0</v>
      </c>
      <c r="AZ13" s="117" cm="1">
        <f t="array" ref="AZ13">SUMPRODUCT(( $B13=CapexCategory)*(AZ$3&gt;=CapexMonth)*(AZ$3&lt;=SalOff)*DepExp)</f>
        <v>0</v>
      </c>
      <c r="BA13" s="117" cm="1">
        <f t="array" ref="BA13">SUMPRODUCT(( $B13=CapexCategory)*(BA$3&gt;=CapexMonth)*(BA$3&lt;=SalOff)*DepExp)</f>
        <v>0</v>
      </c>
      <c r="BB13" s="117" cm="1">
        <f t="array" ref="BB13">SUMPRODUCT(( $B13=CapexCategory)*(BB$3&gt;=CapexMonth)*(BB$3&lt;=SalOff)*DepExp)</f>
        <v>0</v>
      </c>
      <c r="BC13" s="117" cm="1">
        <f t="array" ref="BC13">SUMPRODUCT(( $B13=CapexCategory)*(BC$3&gt;=CapexMonth)*(BC$3&lt;=SalOff)*DepExp)</f>
        <v>0</v>
      </c>
      <c r="BD13" s="117" cm="1">
        <f t="array" ref="BD13">SUMPRODUCT(( $B13=CapexCategory)*(BD$3&gt;=CapexMonth)*(BD$3&lt;=SalOff)*DepExp)</f>
        <v>0</v>
      </c>
      <c r="BE13" s="117" cm="1">
        <f t="array" ref="BE13">SUMPRODUCT(( $B13=CapexCategory)*(BE$3&gt;=CapexMonth)*(BE$3&lt;=SalOff)*DepExp)</f>
        <v>0</v>
      </c>
      <c r="BF13" s="237" cm="1">
        <f t="array" ref="BF13">SUMPRODUCT(( $B13=CapexCategory)*(BF$3&gt;=CapexMonth)*(BF$3&lt;=SalOff)*DepExp)</f>
        <v>0</v>
      </c>
      <c r="BG13" s="117" cm="1">
        <f t="array" ref="BG13">SUMPRODUCT(( $B13=CapexCategory)*(BG$3&gt;=CapexMonth)*(BG$3&lt;=SalOff)*DepExp)</f>
        <v>0</v>
      </c>
      <c r="BH13" s="117" cm="1">
        <f t="array" ref="BH13">SUMPRODUCT(( $B13=CapexCategory)*(BH$3&gt;=CapexMonth)*(BH$3&lt;=SalOff)*DepExp)</f>
        <v>0</v>
      </c>
      <c r="BI13" s="117" cm="1">
        <f t="array" ref="BI13">SUMPRODUCT(( $B13=CapexCategory)*(BI$3&gt;=CapexMonth)*(BI$3&lt;=SalOff)*DepExp)</f>
        <v>0</v>
      </c>
      <c r="BJ13" s="117" cm="1">
        <f t="array" ref="BJ13">SUMPRODUCT(( $B13=CapexCategory)*(BJ$3&gt;=CapexMonth)*(BJ$3&lt;=SalOff)*DepExp)</f>
        <v>0</v>
      </c>
      <c r="BK13" s="117" cm="1">
        <f t="array" ref="BK13">SUMPRODUCT(( $B13=CapexCategory)*(BK$3&gt;=CapexMonth)*(BK$3&lt;=SalOff)*DepExp)</f>
        <v>0</v>
      </c>
      <c r="BL13" s="117" cm="1">
        <f t="array" ref="BL13">SUMPRODUCT(( $B13=CapexCategory)*(BL$3&gt;=CapexMonth)*(BL$3&lt;=SalOff)*DepExp)</f>
        <v>0</v>
      </c>
      <c r="BM13" s="117" cm="1">
        <f t="array" ref="BM13">SUMPRODUCT(( $B13=CapexCategory)*(BM$3&gt;=CapexMonth)*(BM$3&lt;=SalOff)*DepExp)</f>
        <v>0</v>
      </c>
      <c r="BN13" s="117" cm="1">
        <f t="array" ref="BN13">SUMPRODUCT(( $B13=CapexCategory)*(BN$3&gt;=CapexMonth)*(BN$3&lt;=SalOff)*DepExp)</f>
        <v>0</v>
      </c>
      <c r="BO13" s="117" cm="1">
        <f t="array" ref="BO13">SUMPRODUCT(( $B13=CapexCategory)*(BO$3&gt;=CapexMonth)*(BO$3&lt;=SalOff)*DepExp)</f>
        <v>0</v>
      </c>
      <c r="BP13" s="117" cm="1">
        <f t="array" ref="BP13">SUMPRODUCT(( $B13=CapexCategory)*(BP$3&gt;=CapexMonth)*(BP$3&lt;=SalOff)*DepExp)</f>
        <v>0</v>
      </c>
      <c r="BQ13" s="117" cm="1">
        <f t="array" ref="BQ13">SUMPRODUCT(( $B13=CapexCategory)*(BQ$3&gt;=CapexMonth)*(BQ$3&lt;=SalOff)*DepExp)</f>
        <v>0</v>
      </c>
      <c r="BR13" s="237" cm="1">
        <f t="array" ref="BR13">SUMPRODUCT(( $B13=CapexCategory)*(BR$3&gt;=CapexMonth)*(BR$3&lt;=SalOff)*DepExp)</f>
        <v>0</v>
      </c>
    </row>
    <row r="14" spans="1:70" x14ac:dyDescent="0.3">
      <c r="A14" s="14"/>
      <c r="B14" s="159" t="s">
        <v>51</v>
      </c>
      <c r="C14" s="185"/>
      <c r="D14" s="93"/>
      <c r="E14" s="237">
        <f>SUM(K14:V14)</f>
        <v>40</v>
      </c>
      <c r="F14" s="237">
        <f>SUM(W14:AH14)</f>
        <v>0</v>
      </c>
      <c r="G14" s="237">
        <f>SUM(AI14:AT14)</f>
        <v>0</v>
      </c>
      <c r="H14" s="237">
        <f>SUM(AU14:BF14)</f>
        <v>0</v>
      </c>
      <c r="I14" s="237">
        <f>SUM(BG14:BR14)</f>
        <v>0</v>
      </c>
      <c r="J14" s="238"/>
      <c r="K14" s="117" cm="1">
        <f t="array" ref="K14">SUMPRODUCT(( $B14=CapexCategory)*(K$3&gt;=CapexMonth)*(K$3&lt;=SalOff)*DepExp)</f>
        <v>4</v>
      </c>
      <c r="L14" s="117" cm="1">
        <f t="array" ref="L14">SUMPRODUCT(( $B14=CapexCategory)*(L$3&gt;=CapexMonth)*(L$3&lt;=SalOff)*DepExp)</f>
        <v>4</v>
      </c>
      <c r="M14" s="117" cm="1">
        <f t="array" ref="M14">SUMPRODUCT(( $B14=CapexCategory)*(M$3&gt;=CapexMonth)*(M$3&lt;=SalOff)*DepExp)</f>
        <v>4</v>
      </c>
      <c r="N14" s="117" cm="1">
        <f t="array" ref="N14">SUMPRODUCT(( $B14=CapexCategory)*(N$3&gt;=CapexMonth)*(N$3&lt;=SalOff)*DepExp)</f>
        <v>4</v>
      </c>
      <c r="O14" s="117" cm="1">
        <f t="array" ref="O14">SUMPRODUCT(( $B14=CapexCategory)*(O$3&gt;=CapexMonth)*(O$3&lt;=SalOff)*DepExp)</f>
        <v>4</v>
      </c>
      <c r="P14" s="117" cm="1">
        <f t="array" ref="P14">SUMPRODUCT(( $B14=CapexCategory)*(P$3&gt;=CapexMonth)*(P$3&lt;=SalOff)*DepExp)</f>
        <v>4</v>
      </c>
      <c r="Q14" s="117" cm="1">
        <f t="array" ref="Q14">SUMPRODUCT(( $B14=CapexCategory)*(Q$3&gt;=CapexMonth)*(Q$3&lt;=SalOff)*DepExp)</f>
        <v>4</v>
      </c>
      <c r="R14" s="117" cm="1">
        <f t="array" ref="R14">SUMPRODUCT(( $B14=CapexCategory)*(R$3&gt;=CapexMonth)*(R$3&lt;=SalOff)*DepExp)</f>
        <v>4</v>
      </c>
      <c r="S14" s="117" cm="1">
        <f t="array" ref="S14">SUMPRODUCT(( $B14=CapexCategory)*(S$3&gt;=CapexMonth)*(S$3&lt;=SalOff)*DepExp)</f>
        <v>4</v>
      </c>
      <c r="T14" s="117" cm="1">
        <f t="array" ref="T14">SUMPRODUCT(( $B14=CapexCategory)*(T$3&gt;=CapexMonth)*(T$3&lt;=SalOff)*DepExp)</f>
        <v>4</v>
      </c>
      <c r="U14" s="117" cm="1">
        <f t="array" ref="U14">SUMPRODUCT(( $B14=CapexCategory)*(U$3&gt;=CapexMonth)*(U$3&lt;=SalOff)*DepExp)</f>
        <v>0</v>
      </c>
      <c r="V14" s="237" cm="1">
        <f t="array" ref="V14">SUMPRODUCT(( $B14=CapexCategory)*(V$3&gt;=CapexMonth)*(V$3&lt;=SalOff)*DepExp)</f>
        <v>0</v>
      </c>
      <c r="W14" s="117" cm="1">
        <f t="array" ref="W14">SUMPRODUCT(( $B14=CapexCategory)*(W$3&gt;=CapexMonth)*(W$3&lt;=SalOff)*DepExp)</f>
        <v>0</v>
      </c>
      <c r="X14" s="117" cm="1">
        <f t="array" ref="X14">SUMPRODUCT(( $B14=CapexCategory)*(X$3&gt;=CapexMonth)*(X$3&lt;=SalOff)*DepExp)</f>
        <v>0</v>
      </c>
      <c r="Y14" s="117" cm="1">
        <f t="array" ref="Y14">SUMPRODUCT(( $B14=CapexCategory)*(Y$3&gt;=CapexMonth)*(Y$3&lt;=SalOff)*DepExp)</f>
        <v>0</v>
      </c>
      <c r="Z14" s="117" cm="1">
        <f t="array" ref="Z14">SUMPRODUCT(( $B14=CapexCategory)*(Z$3&gt;=CapexMonth)*(Z$3&lt;=SalOff)*DepExp)</f>
        <v>0</v>
      </c>
      <c r="AA14" s="117" cm="1">
        <f t="array" ref="AA14">SUMPRODUCT(( $B14=CapexCategory)*(AA$3&gt;=CapexMonth)*(AA$3&lt;=SalOff)*DepExp)</f>
        <v>0</v>
      </c>
      <c r="AB14" s="117" cm="1">
        <f t="array" ref="AB14">SUMPRODUCT(( $B14=CapexCategory)*(AB$3&gt;=CapexMonth)*(AB$3&lt;=SalOff)*DepExp)</f>
        <v>0</v>
      </c>
      <c r="AC14" s="117" cm="1">
        <f t="array" ref="AC14">SUMPRODUCT(( $B14=CapexCategory)*(AC$3&gt;=CapexMonth)*(AC$3&lt;=SalOff)*DepExp)</f>
        <v>0</v>
      </c>
      <c r="AD14" s="117" cm="1">
        <f t="array" ref="AD14">SUMPRODUCT(( $B14=CapexCategory)*(AD$3&gt;=CapexMonth)*(AD$3&lt;=SalOff)*DepExp)</f>
        <v>0</v>
      </c>
      <c r="AE14" s="117" cm="1">
        <f t="array" ref="AE14">SUMPRODUCT(( $B14=CapexCategory)*(AE$3&gt;=CapexMonth)*(AE$3&lt;=SalOff)*DepExp)</f>
        <v>0</v>
      </c>
      <c r="AF14" s="117" cm="1">
        <f t="array" ref="AF14">SUMPRODUCT(( $B14=CapexCategory)*(AF$3&gt;=CapexMonth)*(AF$3&lt;=SalOff)*DepExp)</f>
        <v>0</v>
      </c>
      <c r="AG14" s="117" cm="1">
        <f t="array" ref="AG14">SUMPRODUCT(( $B14=CapexCategory)*(AG$3&gt;=CapexMonth)*(AG$3&lt;=SalOff)*DepExp)</f>
        <v>0</v>
      </c>
      <c r="AH14" s="237" cm="1">
        <f t="array" ref="AH14">SUMPRODUCT(( $B14=CapexCategory)*(AH$3&gt;=CapexMonth)*(AH$3&lt;=SalOff)*DepExp)</f>
        <v>0</v>
      </c>
      <c r="AI14" s="117" cm="1">
        <f t="array" ref="AI14">SUMPRODUCT(( $B14=CapexCategory)*(AI$3&gt;=CapexMonth)*(AI$3&lt;=SalOff)*DepExp)</f>
        <v>0</v>
      </c>
      <c r="AJ14" s="117" cm="1">
        <f t="array" ref="AJ14">SUMPRODUCT(( $B14=CapexCategory)*(AJ$3&gt;=CapexMonth)*(AJ$3&lt;=SalOff)*DepExp)</f>
        <v>0</v>
      </c>
      <c r="AK14" s="117" cm="1">
        <f t="array" ref="AK14">SUMPRODUCT(( $B14=CapexCategory)*(AK$3&gt;=CapexMonth)*(AK$3&lt;=SalOff)*DepExp)</f>
        <v>0</v>
      </c>
      <c r="AL14" s="117" cm="1">
        <f t="array" ref="AL14">SUMPRODUCT(( $B14=CapexCategory)*(AL$3&gt;=CapexMonth)*(AL$3&lt;=SalOff)*DepExp)</f>
        <v>0</v>
      </c>
      <c r="AM14" s="117" cm="1">
        <f t="array" ref="AM14">SUMPRODUCT(( $B14=CapexCategory)*(AM$3&gt;=CapexMonth)*(AM$3&lt;=SalOff)*DepExp)</f>
        <v>0</v>
      </c>
      <c r="AN14" s="117" cm="1">
        <f t="array" ref="AN14">SUMPRODUCT(( $B14=CapexCategory)*(AN$3&gt;=CapexMonth)*(AN$3&lt;=SalOff)*DepExp)</f>
        <v>0</v>
      </c>
      <c r="AO14" s="117" cm="1">
        <f t="array" ref="AO14">SUMPRODUCT(( $B14=CapexCategory)*(AO$3&gt;=CapexMonth)*(AO$3&lt;=SalOff)*DepExp)</f>
        <v>0</v>
      </c>
      <c r="AP14" s="117" cm="1">
        <f t="array" ref="AP14">SUMPRODUCT(( $B14=CapexCategory)*(AP$3&gt;=CapexMonth)*(AP$3&lt;=SalOff)*DepExp)</f>
        <v>0</v>
      </c>
      <c r="AQ14" s="117" cm="1">
        <f t="array" ref="AQ14">SUMPRODUCT(( $B14=CapexCategory)*(AQ$3&gt;=CapexMonth)*(AQ$3&lt;=SalOff)*DepExp)</f>
        <v>0</v>
      </c>
      <c r="AR14" s="117" cm="1">
        <f t="array" ref="AR14">SUMPRODUCT(( $B14=CapexCategory)*(AR$3&gt;=CapexMonth)*(AR$3&lt;=SalOff)*DepExp)</f>
        <v>0</v>
      </c>
      <c r="AS14" s="117" cm="1">
        <f t="array" ref="AS14">SUMPRODUCT(( $B14=CapexCategory)*(AS$3&gt;=CapexMonth)*(AS$3&lt;=SalOff)*DepExp)</f>
        <v>0</v>
      </c>
      <c r="AT14" s="237" cm="1">
        <f t="array" ref="AT14">SUMPRODUCT(( $B14=CapexCategory)*(AT$3&gt;=CapexMonth)*(AT$3&lt;=SalOff)*DepExp)</f>
        <v>0</v>
      </c>
      <c r="AU14" s="117" cm="1">
        <f t="array" ref="AU14">SUMPRODUCT(( $B14=CapexCategory)*(AU$3&gt;=CapexMonth)*(AU$3&lt;=SalOff)*DepExp)</f>
        <v>0</v>
      </c>
      <c r="AV14" s="117" cm="1">
        <f t="array" ref="AV14">SUMPRODUCT(( $B14=CapexCategory)*(AV$3&gt;=CapexMonth)*(AV$3&lt;=SalOff)*DepExp)</f>
        <v>0</v>
      </c>
      <c r="AW14" s="117" cm="1">
        <f t="array" ref="AW14">SUMPRODUCT(( $B14=CapexCategory)*(AW$3&gt;=CapexMonth)*(AW$3&lt;=SalOff)*DepExp)</f>
        <v>0</v>
      </c>
      <c r="AX14" s="117" cm="1">
        <f t="array" ref="AX14">SUMPRODUCT(( $B14=CapexCategory)*(AX$3&gt;=CapexMonth)*(AX$3&lt;=SalOff)*DepExp)</f>
        <v>0</v>
      </c>
      <c r="AY14" s="117" cm="1">
        <f t="array" ref="AY14">SUMPRODUCT(( $B14=CapexCategory)*(AY$3&gt;=CapexMonth)*(AY$3&lt;=SalOff)*DepExp)</f>
        <v>0</v>
      </c>
      <c r="AZ14" s="117" cm="1">
        <f t="array" ref="AZ14">SUMPRODUCT(( $B14=CapexCategory)*(AZ$3&gt;=CapexMonth)*(AZ$3&lt;=SalOff)*DepExp)</f>
        <v>0</v>
      </c>
      <c r="BA14" s="117" cm="1">
        <f t="array" ref="BA14">SUMPRODUCT(( $B14=CapexCategory)*(BA$3&gt;=CapexMonth)*(BA$3&lt;=SalOff)*DepExp)</f>
        <v>0</v>
      </c>
      <c r="BB14" s="117" cm="1">
        <f t="array" ref="BB14">SUMPRODUCT(( $B14=CapexCategory)*(BB$3&gt;=CapexMonth)*(BB$3&lt;=SalOff)*DepExp)</f>
        <v>0</v>
      </c>
      <c r="BC14" s="117" cm="1">
        <f t="array" ref="BC14">SUMPRODUCT(( $B14=CapexCategory)*(BC$3&gt;=CapexMonth)*(BC$3&lt;=SalOff)*DepExp)</f>
        <v>0</v>
      </c>
      <c r="BD14" s="117" cm="1">
        <f t="array" ref="BD14">SUMPRODUCT(( $B14=CapexCategory)*(BD$3&gt;=CapexMonth)*(BD$3&lt;=SalOff)*DepExp)</f>
        <v>0</v>
      </c>
      <c r="BE14" s="117" cm="1">
        <f t="array" ref="BE14">SUMPRODUCT(( $B14=CapexCategory)*(BE$3&gt;=CapexMonth)*(BE$3&lt;=SalOff)*DepExp)</f>
        <v>0</v>
      </c>
      <c r="BF14" s="237" cm="1">
        <f t="array" ref="BF14">SUMPRODUCT(( $B14=CapexCategory)*(BF$3&gt;=CapexMonth)*(BF$3&lt;=SalOff)*DepExp)</f>
        <v>0</v>
      </c>
      <c r="BG14" s="117" cm="1">
        <f t="array" ref="BG14">SUMPRODUCT(( $B14=CapexCategory)*(BG$3&gt;=CapexMonth)*(BG$3&lt;=SalOff)*DepExp)</f>
        <v>0</v>
      </c>
      <c r="BH14" s="117" cm="1">
        <f t="array" ref="BH14">SUMPRODUCT(( $B14=CapexCategory)*(BH$3&gt;=CapexMonth)*(BH$3&lt;=SalOff)*DepExp)</f>
        <v>0</v>
      </c>
      <c r="BI14" s="117" cm="1">
        <f t="array" ref="BI14">SUMPRODUCT(( $B14=CapexCategory)*(BI$3&gt;=CapexMonth)*(BI$3&lt;=SalOff)*DepExp)</f>
        <v>0</v>
      </c>
      <c r="BJ14" s="117" cm="1">
        <f t="array" ref="BJ14">SUMPRODUCT(( $B14=CapexCategory)*(BJ$3&gt;=CapexMonth)*(BJ$3&lt;=SalOff)*DepExp)</f>
        <v>0</v>
      </c>
      <c r="BK14" s="117" cm="1">
        <f t="array" ref="BK14">SUMPRODUCT(( $B14=CapexCategory)*(BK$3&gt;=CapexMonth)*(BK$3&lt;=SalOff)*DepExp)</f>
        <v>0</v>
      </c>
      <c r="BL14" s="117" cm="1">
        <f t="array" ref="BL14">SUMPRODUCT(( $B14=CapexCategory)*(BL$3&gt;=CapexMonth)*(BL$3&lt;=SalOff)*DepExp)</f>
        <v>0</v>
      </c>
      <c r="BM14" s="117" cm="1">
        <f t="array" ref="BM14">SUMPRODUCT(( $B14=CapexCategory)*(BM$3&gt;=CapexMonth)*(BM$3&lt;=SalOff)*DepExp)</f>
        <v>0</v>
      </c>
      <c r="BN14" s="117" cm="1">
        <f t="array" ref="BN14">SUMPRODUCT(( $B14=CapexCategory)*(BN$3&gt;=CapexMonth)*(BN$3&lt;=SalOff)*DepExp)</f>
        <v>0</v>
      </c>
      <c r="BO14" s="117" cm="1">
        <f t="array" ref="BO14">SUMPRODUCT(( $B14=CapexCategory)*(BO$3&gt;=CapexMonth)*(BO$3&lt;=SalOff)*DepExp)</f>
        <v>0</v>
      </c>
      <c r="BP14" s="117" cm="1">
        <f t="array" ref="BP14">SUMPRODUCT(( $B14=CapexCategory)*(BP$3&gt;=CapexMonth)*(BP$3&lt;=SalOff)*DepExp)</f>
        <v>0</v>
      </c>
      <c r="BQ14" s="117" cm="1">
        <f t="array" ref="BQ14">SUMPRODUCT(( $B14=CapexCategory)*(BQ$3&gt;=CapexMonth)*(BQ$3&lt;=SalOff)*DepExp)</f>
        <v>0</v>
      </c>
      <c r="BR14" s="237" cm="1">
        <f t="array" ref="BR14">SUMPRODUCT(( $B14=CapexCategory)*(BR$3&gt;=CapexMonth)*(BR$3&lt;=SalOff)*DepExp)</f>
        <v>0</v>
      </c>
    </row>
    <row r="15" spans="1:70" x14ac:dyDescent="0.3">
      <c r="A15" s="2"/>
      <c r="B15" s="159" t="s">
        <v>56</v>
      </c>
      <c r="C15" s="185"/>
      <c r="D15" s="93"/>
      <c r="E15" s="237">
        <f>SUM(K15:V15)</f>
        <v>50</v>
      </c>
      <c r="F15" s="237">
        <f>SUM(W15:AH15)</f>
        <v>0</v>
      </c>
      <c r="G15" s="237">
        <f>SUM(AI15:AT15)</f>
        <v>0</v>
      </c>
      <c r="H15" s="237">
        <f>SUM(AU15:BF15)</f>
        <v>0</v>
      </c>
      <c r="I15" s="237">
        <f>SUM(BG15:BR15)</f>
        <v>0</v>
      </c>
      <c r="J15" s="238"/>
      <c r="K15" s="117" cm="1">
        <f t="array" ref="K15">SUMPRODUCT(( $B15=CapexCategory)*(K$3&gt;=CapexMonth)*(K$3&lt;=SalOff)*DepExp)</f>
        <v>0</v>
      </c>
      <c r="L15" s="117" cm="1">
        <f t="array" ref="L15">SUMPRODUCT(( $B15=CapexCategory)*(L$3&gt;=CapexMonth)*(L$3&lt;=SalOff)*DepExp)</f>
        <v>0</v>
      </c>
      <c r="M15" s="117" cm="1">
        <f t="array" ref="M15">SUMPRODUCT(( $B15=CapexCategory)*(M$3&gt;=CapexMonth)*(M$3&lt;=SalOff)*DepExp)</f>
        <v>0</v>
      </c>
      <c r="N15" s="117" cm="1">
        <f t="array" ref="N15">SUMPRODUCT(( $B15=CapexCategory)*(N$3&gt;=CapexMonth)*(N$3&lt;=SalOff)*DepExp)</f>
        <v>0</v>
      </c>
      <c r="O15" s="117" cm="1">
        <f t="array" ref="O15">SUMPRODUCT(( $B15=CapexCategory)*(O$3&gt;=CapexMonth)*(O$3&lt;=SalOff)*DepExp)</f>
        <v>0</v>
      </c>
      <c r="P15" s="117" cm="1">
        <f t="array" ref="P15">SUMPRODUCT(( $B15=CapexCategory)*(P$3&gt;=CapexMonth)*(P$3&lt;=SalOff)*DepExp)</f>
        <v>0</v>
      </c>
      <c r="Q15" s="117" cm="1">
        <f t="array" ref="Q15">SUMPRODUCT(( $B15=CapexCategory)*(Q$3&gt;=CapexMonth)*(Q$3&lt;=SalOff)*DepExp)</f>
        <v>0</v>
      </c>
      <c r="R15" s="117" cm="1">
        <f t="array" ref="R15">SUMPRODUCT(( $B15=CapexCategory)*(R$3&gt;=CapexMonth)*(R$3&lt;=SalOff)*DepExp)</f>
        <v>16.666666666666668</v>
      </c>
      <c r="S15" s="117" cm="1">
        <f t="array" ref="S15">SUMPRODUCT(( $B15=CapexCategory)*(S$3&gt;=CapexMonth)*(S$3&lt;=SalOff)*DepExp)</f>
        <v>16.666666666666668</v>
      </c>
      <c r="T15" s="117" cm="1">
        <f t="array" ref="T15">SUMPRODUCT(( $B15=CapexCategory)*(T$3&gt;=CapexMonth)*(T$3&lt;=SalOff)*DepExp)</f>
        <v>16.666666666666668</v>
      </c>
      <c r="U15" s="117" cm="1">
        <f t="array" ref="U15">SUMPRODUCT(( $B15=CapexCategory)*(U$3&gt;=CapexMonth)*(U$3&lt;=SalOff)*DepExp)</f>
        <v>0</v>
      </c>
      <c r="V15" s="237" cm="1">
        <f t="array" ref="V15">SUMPRODUCT(( $B15=CapexCategory)*(V$3&gt;=CapexMonth)*(V$3&lt;=SalOff)*DepExp)</f>
        <v>0</v>
      </c>
      <c r="W15" s="117" cm="1">
        <f t="array" ref="W15">SUMPRODUCT(( $B15=CapexCategory)*(W$3&gt;=CapexMonth)*(W$3&lt;=SalOff)*DepExp)</f>
        <v>0</v>
      </c>
      <c r="X15" s="117" cm="1">
        <f t="array" ref="X15">SUMPRODUCT(( $B15=CapexCategory)*(X$3&gt;=CapexMonth)*(X$3&lt;=SalOff)*DepExp)</f>
        <v>0</v>
      </c>
      <c r="Y15" s="117" cm="1">
        <f t="array" ref="Y15">SUMPRODUCT(( $B15=CapexCategory)*(Y$3&gt;=CapexMonth)*(Y$3&lt;=SalOff)*DepExp)</f>
        <v>0</v>
      </c>
      <c r="Z15" s="117" cm="1">
        <f t="array" ref="Z15">SUMPRODUCT(( $B15=CapexCategory)*(Z$3&gt;=CapexMonth)*(Z$3&lt;=SalOff)*DepExp)</f>
        <v>0</v>
      </c>
      <c r="AA15" s="117" cm="1">
        <f t="array" ref="AA15">SUMPRODUCT(( $B15=CapexCategory)*(AA$3&gt;=CapexMonth)*(AA$3&lt;=SalOff)*DepExp)</f>
        <v>0</v>
      </c>
      <c r="AB15" s="117" cm="1">
        <f t="array" ref="AB15">SUMPRODUCT(( $B15=CapexCategory)*(AB$3&gt;=CapexMonth)*(AB$3&lt;=SalOff)*DepExp)</f>
        <v>0</v>
      </c>
      <c r="AC15" s="117" cm="1">
        <f t="array" ref="AC15">SUMPRODUCT(( $B15=CapexCategory)*(AC$3&gt;=CapexMonth)*(AC$3&lt;=SalOff)*DepExp)</f>
        <v>0</v>
      </c>
      <c r="AD15" s="117" cm="1">
        <f t="array" ref="AD15">SUMPRODUCT(( $B15=CapexCategory)*(AD$3&gt;=CapexMonth)*(AD$3&lt;=SalOff)*DepExp)</f>
        <v>0</v>
      </c>
      <c r="AE15" s="117" cm="1">
        <f t="array" ref="AE15">SUMPRODUCT(( $B15=CapexCategory)*(AE$3&gt;=CapexMonth)*(AE$3&lt;=SalOff)*DepExp)</f>
        <v>0</v>
      </c>
      <c r="AF15" s="117" cm="1">
        <f t="array" ref="AF15">SUMPRODUCT(( $B15=CapexCategory)*(AF$3&gt;=CapexMonth)*(AF$3&lt;=SalOff)*DepExp)</f>
        <v>0</v>
      </c>
      <c r="AG15" s="117" cm="1">
        <f t="array" ref="AG15">SUMPRODUCT(( $B15=CapexCategory)*(AG$3&gt;=CapexMonth)*(AG$3&lt;=SalOff)*DepExp)</f>
        <v>0</v>
      </c>
      <c r="AH15" s="237" cm="1">
        <f t="array" ref="AH15">SUMPRODUCT(( $B15=CapexCategory)*(AH$3&gt;=CapexMonth)*(AH$3&lt;=SalOff)*DepExp)</f>
        <v>0</v>
      </c>
      <c r="AI15" s="117" cm="1">
        <f t="array" ref="AI15">SUMPRODUCT(( $B15=CapexCategory)*(AI$3&gt;=CapexMonth)*(AI$3&lt;=SalOff)*DepExp)</f>
        <v>0</v>
      </c>
      <c r="AJ15" s="117" cm="1">
        <f t="array" ref="AJ15">SUMPRODUCT(( $B15=CapexCategory)*(AJ$3&gt;=CapexMonth)*(AJ$3&lt;=SalOff)*DepExp)</f>
        <v>0</v>
      </c>
      <c r="AK15" s="117" cm="1">
        <f t="array" ref="AK15">SUMPRODUCT(( $B15=CapexCategory)*(AK$3&gt;=CapexMonth)*(AK$3&lt;=SalOff)*DepExp)</f>
        <v>0</v>
      </c>
      <c r="AL15" s="117" cm="1">
        <f t="array" ref="AL15">SUMPRODUCT(( $B15=CapexCategory)*(AL$3&gt;=CapexMonth)*(AL$3&lt;=SalOff)*DepExp)</f>
        <v>0</v>
      </c>
      <c r="AM15" s="117" cm="1">
        <f t="array" ref="AM15">SUMPRODUCT(( $B15=CapexCategory)*(AM$3&gt;=CapexMonth)*(AM$3&lt;=SalOff)*DepExp)</f>
        <v>0</v>
      </c>
      <c r="AN15" s="117" cm="1">
        <f t="array" ref="AN15">SUMPRODUCT(( $B15=CapexCategory)*(AN$3&gt;=CapexMonth)*(AN$3&lt;=SalOff)*DepExp)</f>
        <v>0</v>
      </c>
      <c r="AO15" s="117" cm="1">
        <f t="array" ref="AO15">SUMPRODUCT(( $B15=CapexCategory)*(AO$3&gt;=CapexMonth)*(AO$3&lt;=SalOff)*DepExp)</f>
        <v>0</v>
      </c>
      <c r="AP15" s="117" cm="1">
        <f t="array" ref="AP15">SUMPRODUCT(( $B15=CapexCategory)*(AP$3&gt;=CapexMonth)*(AP$3&lt;=SalOff)*DepExp)</f>
        <v>0</v>
      </c>
      <c r="AQ15" s="117" cm="1">
        <f t="array" ref="AQ15">SUMPRODUCT(( $B15=CapexCategory)*(AQ$3&gt;=CapexMonth)*(AQ$3&lt;=SalOff)*DepExp)</f>
        <v>0</v>
      </c>
      <c r="AR15" s="117" cm="1">
        <f t="array" ref="AR15">SUMPRODUCT(( $B15=CapexCategory)*(AR$3&gt;=CapexMonth)*(AR$3&lt;=SalOff)*DepExp)</f>
        <v>0</v>
      </c>
      <c r="AS15" s="117" cm="1">
        <f t="array" ref="AS15">SUMPRODUCT(( $B15=CapexCategory)*(AS$3&gt;=CapexMonth)*(AS$3&lt;=SalOff)*DepExp)</f>
        <v>0</v>
      </c>
      <c r="AT15" s="237" cm="1">
        <f t="array" ref="AT15">SUMPRODUCT(( $B15=CapexCategory)*(AT$3&gt;=CapexMonth)*(AT$3&lt;=SalOff)*DepExp)</f>
        <v>0</v>
      </c>
      <c r="AU15" s="117" cm="1">
        <f t="array" ref="AU15">SUMPRODUCT(( $B15=CapexCategory)*(AU$3&gt;=CapexMonth)*(AU$3&lt;=SalOff)*DepExp)</f>
        <v>0</v>
      </c>
      <c r="AV15" s="117" cm="1">
        <f t="array" ref="AV15">SUMPRODUCT(( $B15=CapexCategory)*(AV$3&gt;=CapexMonth)*(AV$3&lt;=SalOff)*DepExp)</f>
        <v>0</v>
      </c>
      <c r="AW15" s="117" cm="1">
        <f t="array" ref="AW15">SUMPRODUCT(( $B15=CapexCategory)*(AW$3&gt;=CapexMonth)*(AW$3&lt;=SalOff)*DepExp)</f>
        <v>0</v>
      </c>
      <c r="AX15" s="117" cm="1">
        <f t="array" ref="AX15">SUMPRODUCT(( $B15=CapexCategory)*(AX$3&gt;=CapexMonth)*(AX$3&lt;=SalOff)*DepExp)</f>
        <v>0</v>
      </c>
      <c r="AY15" s="117" cm="1">
        <f t="array" ref="AY15">SUMPRODUCT(( $B15=CapexCategory)*(AY$3&gt;=CapexMonth)*(AY$3&lt;=SalOff)*DepExp)</f>
        <v>0</v>
      </c>
      <c r="AZ15" s="117" cm="1">
        <f t="array" ref="AZ15">SUMPRODUCT(( $B15=CapexCategory)*(AZ$3&gt;=CapexMonth)*(AZ$3&lt;=SalOff)*DepExp)</f>
        <v>0</v>
      </c>
      <c r="BA15" s="117" cm="1">
        <f t="array" ref="BA15">SUMPRODUCT(( $B15=CapexCategory)*(BA$3&gt;=CapexMonth)*(BA$3&lt;=SalOff)*DepExp)</f>
        <v>0</v>
      </c>
      <c r="BB15" s="117" cm="1">
        <f t="array" ref="BB15">SUMPRODUCT(( $B15=CapexCategory)*(BB$3&gt;=CapexMonth)*(BB$3&lt;=SalOff)*DepExp)</f>
        <v>0</v>
      </c>
      <c r="BC15" s="117" cm="1">
        <f t="array" ref="BC15">SUMPRODUCT(( $B15=CapexCategory)*(BC$3&gt;=CapexMonth)*(BC$3&lt;=SalOff)*DepExp)</f>
        <v>0</v>
      </c>
      <c r="BD15" s="117" cm="1">
        <f t="array" ref="BD15">SUMPRODUCT(( $B15=CapexCategory)*(BD$3&gt;=CapexMonth)*(BD$3&lt;=SalOff)*DepExp)</f>
        <v>0</v>
      </c>
      <c r="BE15" s="117" cm="1">
        <f t="array" ref="BE15">SUMPRODUCT(( $B15=CapexCategory)*(BE$3&gt;=CapexMonth)*(BE$3&lt;=SalOff)*DepExp)</f>
        <v>0</v>
      </c>
      <c r="BF15" s="237" cm="1">
        <f t="array" ref="BF15">SUMPRODUCT(( $B15=CapexCategory)*(BF$3&gt;=CapexMonth)*(BF$3&lt;=SalOff)*DepExp)</f>
        <v>0</v>
      </c>
      <c r="BG15" s="117" cm="1">
        <f t="array" ref="BG15">SUMPRODUCT(( $B15=CapexCategory)*(BG$3&gt;=CapexMonth)*(BG$3&lt;=SalOff)*DepExp)</f>
        <v>0</v>
      </c>
      <c r="BH15" s="117" cm="1">
        <f t="array" ref="BH15">SUMPRODUCT(( $B15=CapexCategory)*(BH$3&gt;=CapexMonth)*(BH$3&lt;=SalOff)*DepExp)</f>
        <v>0</v>
      </c>
      <c r="BI15" s="117" cm="1">
        <f t="array" ref="BI15">SUMPRODUCT(( $B15=CapexCategory)*(BI$3&gt;=CapexMonth)*(BI$3&lt;=SalOff)*DepExp)</f>
        <v>0</v>
      </c>
      <c r="BJ15" s="117" cm="1">
        <f t="array" ref="BJ15">SUMPRODUCT(( $B15=CapexCategory)*(BJ$3&gt;=CapexMonth)*(BJ$3&lt;=SalOff)*DepExp)</f>
        <v>0</v>
      </c>
      <c r="BK15" s="117" cm="1">
        <f t="array" ref="BK15">SUMPRODUCT(( $B15=CapexCategory)*(BK$3&gt;=CapexMonth)*(BK$3&lt;=SalOff)*DepExp)</f>
        <v>0</v>
      </c>
      <c r="BL15" s="117" cm="1">
        <f t="array" ref="BL15">SUMPRODUCT(( $B15=CapexCategory)*(BL$3&gt;=CapexMonth)*(BL$3&lt;=SalOff)*DepExp)</f>
        <v>0</v>
      </c>
      <c r="BM15" s="117" cm="1">
        <f t="array" ref="BM15">SUMPRODUCT(( $B15=CapexCategory)*(BM$3&gt;=CapexMonth)*(BM$3&lt;=SalOff)*DepExp)</f>
        <v>0</v>
      </c>
      <c r="BN15" s="117" cm="1">
        <f t="array" ref="BN15">SUMPRODUCT(( $B15=CapexCategory)*(BN$3&gt;=CapexMonth)*(BN$3&lt;=SalOff)*DepExp)</f>
        <v>0</v>
      </c>
      <c r="BO15" s="117" cm="1">
        <f t="array" ref="BO15">SUMPRODUCT(( $B15=CapexCategory)*(BO$3&gt;=CapexMonth)*(BO$3&lt;=SalOff)*DepExp)</f>
        <v>0</v>
      </c>
      <c r="BP15" s="117" cm="1">
        <f t="array" ref="BP15">SUMPRODUCT(( $B15=CapexCategory)*(BP$3&gt;=CapexMonth)*(BP$3&lt;=SalOff)*DepExp)</f>
        <v>0</v>
      </c>
      <c r="BQ15" s="117" cm="1">
        <f t="array" ref="BQ15">SUMPRODUCT(( $B15=CapexCategory)*(BQ$3&gt;=CapexMonth)*(BQ$3&lt;=SalOff)*DepExp)</f>
        <v>0</v>
      </c>
      <c r="BR15" s="237" cm="1">
        <f t="array" ref="BR15">SUMPRODUCT(( $B15=CapexCategory)*(BR$3&gt;=CapexMonth)*(BR$3&lt;=SalOff)*DepExp)</f>
        <v>0</v>
      </c>
    </row>
    <row r="16" spans="1:70" x14ac:dyDescent="0.3">
      <c r="A16" s="14"/>
      <c r="B16" s="159" t="s">
        <v>60</v>
      </c>
      <c r="C16" s="185"/>
      <c r="D16" s="94"/>
      <c r="E16" s="237">
        <f>SUM(K16:V16)</f>
        <v>50.000000000000007</v>
      </c>
      <c r="F16" s="237">
        <f>SUM(W16:AH16)</f>
        <v>0</v>
      </c>
      <c r="G16" s="237">
        <f>SUM(AI16:AT16)</f>
        <v>0</v>
      </c>
      <c r="H16" s="237">
        <f>SUM(AU16:BF16)</f>
        <v>0</v>
      </c>
      <c r="I16" s="237">
        <f>SUM(BG16:BR16)</f>
        <v>0</v>
      </c>
      <c r="J16" s="238"/>
      <c r="K16" s="117" cm="1">
        <f t="array" ref="K16">SUMPRODUCT(( $B16=CapexCategory)*(K$3&gt;=CapexMonth)*(K$3&lt;=SalOff)*DepExp)</f>
        <v>0</v>
      </c>
      <c r="L16" s="117" cm="1">
        <f t="array" ref="L16">SUMPRODUCT(( $B16=CapexCategory)*(L$3&gt;=CapexMonth)*(L$3&lt;=SalOff)*DepExp)</f>
        <v>0</v>
      </c>
      <c r="M16" s="117" cm="1">
        <f t="array" ref="M16">SUMPRODUCT(( $B16=CapexCategory)*(M$3&gt;=CapexMonth)*(M$3&lt;=SalOff)*DepExp)</f>
        <v>0</v>
      </c>
      <c r="N16" s="117" cm="1">
        <f t="array" ref="N16">SUMPRODUCT(( $B16=CapexCategory)*(N$3&gt;=CapexMonth)*(N$3&lt;=SalOff)*DepExp)</f>
        <v>0</v>
      </c>
      <c r="O16" s="117" cm="1">
        <f t="array" ref="O16">SUMPRODUCT(( $B16=CapexCategory)*(O$3&gt;=CapexMonth)*(O$3&lt;=SalOff)*DepExp)</f>
        <v>0</v>
      </c>
      <c r="P16" s="117" cm="1">
        <f t="array" ref="P16">SUMPRODUCT(( $B16=CapexCategory)*(P$3&gt;=CapexMonth)*(P$3&lt;=SalOff)*DepExp)</f>
        <v>7.1428571428571432</v>
      </c>
      <c r="Q16" s="117" cm="1">
        <f t="array" ref="Q16">SUMPRODUCT(( $B16=CapexCategory)*(Q$3&gt;=CapexMonth)*(Q$3&lt;=SalOff)*DepExp)</f>
        <v>7.1428571428571432</v>
      </c>
      <c r="R16" s="117" cm="1">
        <f t="array" ref="R16">SUMPRODUCT(( $B16=CapexCategory)*(R$3&gt;=CapexMonth)*(R$3&lt;=SalOff)*DepExp)</f>
        <v>7.1428571428571432</v>
      </c>
      <c r="S16" s="117" cm="1">
        <f t="array" ref="S16">SUMPRODUCT(( $B16=CapexCategory)*(S$3&gt;=CapexMonth)*(S$3&lt;=SalOff)*DepExp)</f>
        <v>7.1428571428571432</v>
      </c>
      <c r="T16" s="117" cm="1">
        <f t="array" ref="T16">SUMPRODUCT(( $B16=CapexCategory)*(T$3&gt;=CapexMonth)*(T$3&lt;=SalOff)*DepExp)</f>
        <v>7.1428571428571432</v>
      </c>
      <c r="U16" s="117" cm="1">
        <f t="array" ref="U16">SUMPRODUCT(( $B16=CapexCategory)*(U$3&gt;=CapexMonth)*(U$3&lt;=SalOff)*DepExp)</f>
        <v>7.1428571428571432</v>
      </c>
      <c r="V16" s="237" cm="1">
        <f t="array" ref="V16">SUMPRODUCT(( $B16=CapexCategory)*(V$3&gt;=CapexMonth)*(V$3&lt;=SalOff)*DepExp)</f>
        <v>7.1428571428571432</v>
      </c>
      <c r="W16" s="117" cm="1">
        <f t="array" ref="W16">SUMPRODUCT(( $B16=CapexCategory)*(W$3&gt;=CapexMonth)*(W$3&lt;=SalOff)*DepExp)</f>
        <v>0</v>
      </c>
      <c r="X16" s="117" cm="1">
        <f t="array" ref="X16">SUMPRODUCT(( $B16=CapexCategory)*(X$3&gt;=CapexMonth)*(X$3&lt;=SalOff)*DepExp)</f>
        <v>0</v>
      </c>
      <c r="Y16" s="117" cm="1">
        <f t="array" ref="Y16">SUMPRODUCT(( $B16=CapexCategory)*(Y$3&gt;=CapexMonth)*(Y$3&lt;=SalOff)*DepExp)</f>
        <v>0</v>
      </c>
      <c r="Z16" s="117" cm="1">
        <f t="array" ref="Z16">SUMPRODUCT(( $B16=CapexCategory)*(Z$3&gt;=CapexMonth)*(Z$3&lt;=SalOff)*DepExp)</f>
        <v>0</v>
      </c>
      <c r="AA16" s="117" cm="1">
        <f t="array" ref="AA16">SUMPRODUCT(( $B16=CapexCategory)*(AA$3&gt;=CapexMonth)*(AA$3&lt;=SalOff)*DepExp)</f>
        <v>0</v>
      </c>
      <c r="AB16" s="117" cm="1">
        <f t="array" ref="AB16">SUMPRODUCT(( $B16=CapexCategory)*(AB$3&gt;=CapexMonth)*(AB$3&lt;=SalOff)*DepExp)</f>
        <v>0</v>
      </c>
      <c r="AC16" s="117" cm="1">
        <f t="array" ref="AC16">SUMPRODUCT(( $B16=CapexCategory)*(AC$3&gt;=CapexMonth)*(AC$3&lt;=SalOff)*DepExp)</f>
        <v>0</v>
      </c>
      <c r="AD16" s="117" cm="1">
        <f t="array" ref="AD16">SUMPRODUCT(( $B16=CapexCategory)*(AD$3&gt;=CapexMonth)*(AD$3&lt;=SalOff)*DepExp)</f>
        <v>0</v>
      </c>
      <c r="AE16" s="117" cm="1">
        <f t="array" ref="AE16">SUMPRODUCT(( $B16=CapexCategory)*(AE$3&gt;=CapexMonth)*(AE$3&lt;=SalOff)*DepExp)</f>
        <v>0</v>
      </c>
      <c r="AF16" s="117" cm="1">
        <f t="array" ref="AF16">SUMPRODUCT(( $B16=CapexCategory)*(AF$3&gt;=CapexMonth)*(AF$3&lt;=SalOff)*DepExp)</f>
        <v>0</v>
      </c>
      <c r="AG16" s="117" cm="1">
        <f t="array" ref="AG16">SUMPRODUCT(( $B16=CapexCategory)*(AG$3&gt;=CapexMonth)*(AG$3&lt;=SalOff)*DepExp)</f>
        <v>0</v>
      </c>
      <c r="AH16" s="237" cm="1">
        <f t="array" ref="AH16">SUMPRODUCT(( $B16=CapexCategory)*(AH$3&gt;=CapexMonth)*(AH$3&lt;=SalOff)*DepExp)</f>
        <v>0</v>
      </c>
      <c r="AI16" s="117" cm="1">
        <f t="array" ref="AI16">SUMPRODUCT(( $B16=CapexCategory)*(AI$3&gt;=CapexMonth)*(AI$3&lt;=SalOff)*DepExp)</f>
        <v>0</v>
      </c>
      <c r="AJ16" s="117" cm="1">
        <f t="array" ref="AJ16">SUMPRODUCT(( $B16=CapexCategory)*(AJ$3&gt;=CapexMonth)*(AJ$3&lt;=SalOff)*DepExp)</f>
        <v>0</v>
      </c>
      <c r="AK16" s="117" cm="1">
        <f t="array" ref="AK16">SUMPRODUCT(( $B16=CapexCategory)*(AK$3&gt;=CapexMonth)*(AK$3&lt;=SalOff)*DepExp)</f>
        <v>0</v>
      </c>
      <c r="AL16" s="117" cm="1">
        <f t="array" ref="AL16">SUMPRODUCT(( $B16=CapexCategory)*(AL$3&gt;=CapexMonth)*(AL$3&lt;=SalOff)*DepExp)</f>
        <v>0</v>
      </c>
      <c r="AM16" s="117" cm="1">
        <f t="array" ref="AM16">SUMPRODUCT(( $B16=CapexCategory)*(AM$3&gt;=CapexMonth)*(AM$3&lt;=SalOff)*DepExp)</f>
        <v>0</v>
      </c>
      <c r="AN16" s="117" cm="1">
        <f t="array" ref="AN16">SUMPRODUCT(( $B16=CapexCategory)*(AN$3&gt;=CapexMonth)*(AN$3&lt;=SalOff)*DepExp)</f>
        <v>0</v>
      </c>
      <c r="AO16" s="117" cm="1">
        <f t="array" ref="AO16">SUMPRODUCT(( $B16=CapexCategory)*(AO$3&gt;=CapexMonth)*(AO$3&lt;=SalOff)*DepExp)</f>
        <v>0</v>
      </c>
      <c r="AP16" s="117" cm="1">
        <f t="array" ref="AP16">SUMPRODUCT(( $B16=CapexCategory)*(AP$3&gt;=CapexMonth)*(AP$3&lt;=SalOff)*DepExp)</f>
        <v>0</v>
      </c>
      <c r="AQ16" s="117" cm="1">
        <f t="array" ref="AQ16">SUMPRODUCT(( $B16=CapexCategory)*(AQ$3&gt;=CapexMonth)*(AQ$3&lt;=SalOff)*DepExp)</f>
        <v>0</v>
      </c>
      <c r="AR16" s="117" cm="1">
        <f t="array" ref="AR16">SUMPRODUCT(( $B16=CapexCategory)*(AR$3&gt;=CapexMonth)*(AR$3&lt;=SalOff)*DepExp)</f>
        <v>0</v>
      </c>
      <c r="AS16" s="117" cm="1">
        <f t="array" ref="AS16">SUMPRODUCT(( $B16=CapexCategory)*(AS$3&gt;=CapexMonth)*(AS$3&lt;=SalOff)*DepExp)</f>
        <v>0</v>
      </c>
      <c r="AT16" s="237" cm="1">
        <f t="array" ref="AT16">SUMPRODUCT(( $B16=CapexCategory)*(AT$3&gt;=CapexMonth)*(AT$3&lt;=SalOff)*DepExp)</f>
        <v>0</v>
      </c>
      <c r="AU16" s="117" cm="1">
        <f t="array" ref="AU16">SUMPRODUCT(( $B16=CapexCategory)*(AU$3&gt;=CapexMonth)*(AU$3&lt;=SalOff)*DepExp)</f>
        <v>0</v>
      </c>
      <c r="AV16" s="117" cm="1">
        <f t="array" ref="AV16">SUMPRODUCT(( $B16=CapexCategory)*(AV$3&gt;=CapexMonth)*(AV$3&lt;=SalOff)*DepExp)</f>
        <v>0</v>
      </c>
      <c r="AW16" s="117" cm="1">
        <f t="array" ref="AW16">SUMPRODUCT(( $B16=CapexCategory)*(AW$3&gt;=CapexMonth)*(AW$3&lt;=SalOff)*DepExp)</f>
        <v>0</v>
      </c>
      <c r="AX16" s="117" cm="1">
        <f t="array" ref="AX16">SUMPRODUCT(( $B16=CapexCategory)*(AX$3&gt;=CapexMonth)*(AX$3&lt;=SalOff)*DepExp)</f>
        <v>0</v>
      </c>
      <c r="AY16" s="117" cm="1">
        <f t="array" ref="AY16">SUMPRODUCT(( $B16=CapexCategory)*(AY$3&gt;=CapexMonth)*(AY$3&lt;=SalOff)*DepExp)</f>
        <v>0</v>
      </c>
      <c r="AZ16" s="117" cm="1">
        <f t="array" ref="AZ16">SUMPRODUCT(( $B16=CapexCategory)*(AZ$3&gt;=CapexMonth)*(AZ$3&lt;=SalOff)*DepExp)</f>
        <v>0</v>
      </c>
      <c r="BA16" s="117" cm="1">
        <f t="array" ref="BA16">SUMPRODUCT(( $B16=CapexCategory)*(BA$3&gt;=CapexMonth)*(BA$3&lt;=SalOff)*DepExp)</f>
        <v>0</v>
      </c>
      <c r="BB16" s="117" cm="1">
        <f t="array" ref="BB16">SUMPRODUCT(( $B16=CapexCategory)*(BB$3&gt;=CapexMonth)*(BB$3&lt;=SalOff)*DepExp)</f>
        <v>0</v>
      </c>
      <c r="BC16" s="117" cm="1">
        <f t="array" ref="BC16">SUMPRODUCT(( $B16=CapexCategory)*(BC$3&gt;=CapexMonth)*(BC$3&lt;=SalOff)*DepExp)</f>
        <v>0</v>
      </c>
      <c r="BD16" s="117" cm="1">
        <f t="array" ref="BD16">SUMPRODUCT(( $B16=CapexCategory)*(BD$3&gt;=CapexMonth)*(BD$3&lt;=SalOff)*DepExp)</f>
        <v>0</v>
      </c>
      <c r="BE16" s="117" cm="1">
        <f t="array" ref="BE16">SUMPRODUCT(( $B16=CapexCategory)*(BE$3&gt;=CapexMonth)*(BE$3&lt;=SalOff)*DepExp)</f>
        <v>0</v>
      </c>
      <c r="BF16" s="237" cm="1">
        <f t="array" ref="BF16">SUMPRODUCT(( $B16=CapexCategory)*(BF$3&gt;=CapexMonth)*(BF$3&lt;=SalOff)*DepExp)</f>
        <v>0</v>
      </c>
      <c r="BG16" s="117" cm="1">
        <f t="array" ref="BG16">SUMPRODUCT(( $B16=CapexCategory)*(BG$3&gt;=CapexMonth)*(BG$3&lt;=SalOff)*DepExp)</f>
        <v>0</v>
      </c>
      <c r="BH16" s="117" cm="1">
        <f t="array" ref="BH16">SUMPRODUCT(( $B16=CapexCategory)*(BH$3&gt;=CapexMonth)*(BH$3&lt;=SalOff)*DepExp)</f>
        <v>0</v>
      </c>
      <c r="BI16" s="117" cm="1">
        <f t="array" ref="BI16">SUMPRODUCT(( $B16=CapexCategory)*(BI$3&gt;=CapexMonth)*(BI$3&lt;=SalOff)*DepExp)</f>
        <v>0</v>
      </c>
      <c r="BJ16" s="117" cm="1">
        <f t="array" ref="BJ16">SUMPRODUCT(( $B16=CapexCategory)*(BJ$3&gt;=CapexMonth)*(BJ$3&lt;=SalOff)*DepExp)</f>
        <v>0</v>
      </c>
      <c r="BK16" s="117" cm="1">
        <f t="array" ref="BK16">SUMPRODUCT(( $B16=CapexCategory)*(BK$3&gt;=CapexMonth)*(BK$3&lt;=SalOff)*DepExp)</f>
        <v>0</v>
      </c>
      <c r="BL16" s="117" cm="1">
        <f t="array" ref="BL16">SUMPRODUCT(( $B16=CapexCategory)*(BL$3&gt;=CapexMonth)*(BL$3&lt;=SalOff)*DepExp)</f>
        <v>0</v>
      </c>
      <c r="BM16" s="117" cm="1">
        <f t="array" ref="BM16">SUMPRODUCT(( $B16=CapexCategory)*(BM$3&gt;=CapexMonth)*(BM$3&lt;=SalOff)*DepExp)</f>
        <v>0</v>
      </c>
      <c r="BN16" s="117" cm="1">
        <f t="array" ref="BN16">SUMPRODUCT(( $B16=CapexCategory)*(BN$3&gt;=CapexMonth)*(BN$3&lt;=SalOff)*DepExp)</f>
        <v>0</v>
      </c>
      <c r="BO16" s="117" cm="1">
        <f t="array" ref="BO16">SUMPRODUCT(( $B16=CapexCategory)*(BO$3&gt;=CapexMonth)*(BO$3&lt;=SalOff)*DepExp)</f>
        <v>0</v>
      </c>
      <c r="BP16" s="117" cm="1">
        <f t="array" ref="BP16">SUMPRODUCT(( $B16=CapexCategory)*(BP$3&gt;=CapexMonth)*(BP$3&lt;=SalOff)*DepExp)</f>
        <v>0</v>
      </c>
      <c r="BQ16" s="117" cm="1">
        <f t="array" ref="BQ16">SUMPRODUCT(( $B16=CapexCategory)*(BQ$3&gt;=CapexMonth)*(BQ$3&lt;=SalOff)*DepExp)</f>
        <v>0</v>
      </c>
      <c r="BR16" s="237" cm="1">
        <f t="array" ref="BR16">SUMPRODUCT(( $B16=CapexCategory)*(BR$3&gt;=CapexMonth)*(BR$3&lt;=SalOff)*DepExp)</f>
        <v>0</v>
      </c>
    </row>
    <row r="17" spans="1:70" x14ac:dyDescent="0.3">
      <c r="A17" s="14"/>
      <c r="B17" s="159" t="s">
        <v>65</v>
      </c>
      <c r="C17" s="185"/>
      <c r="D17" s="93"/>
      <c r="E17" s="237"/>
      <c r="F17" s="237"/>
      <c r="G17" s="237"/>
      <c r="H17" s="237"/>
      <c r="I17" s="237"/>
      <c r="J17" s="238"/>
      <c r="K17" s="117" cm="1">
        <f t="array" ref="K17">SUMPRODUCT(( $B17=CapexCategory)*(K$3&gt;=CapexMonth)*(K$3&lt;=SalOff)*DepExp)</f>
        <v>0</v>
      </c>
      <c r="L17" s="117" cm="1">
        <f t="array" ref="L17">SUMPRODUCT(( $B17=CapexCategory)*(L$3&gt;=CapexMonth)*(L$3&lt;=SalOff)*DepExp)</f>
        <v>0</v>
      </c>
      <c r="M17" s="117" cm="1">
        <f t="array" ref="M17">SUMPRODUCT(( $B17=CapexCategory)*(M$3&gt;=CapexMonth)*(M$3&lt;=SalOff)*DepExp)</f>
        <v>0</v>
      </c>
      <c r="N17" s="117" cm="1">
        <f t="array" ref="N17">SUMPRODUCT(( $B17=CapexCategory)*(N$3&gt;=CapexMonth)*(N$3&lt;=SalOff)*DepExp)</f>
        <v>0</v>
      </c>
      <c r="O17" s="117" cm="1">
        <f t="array" ref="O17">SUMPRODUCT(( $B17=CapexCategory)*(O$3&gt;=CapexMonth)*(O$3&lt;=SalOff)*DepExp)</f>
        <v>0</v>
      </c>
      <c r="P17" s="117" cm="1">
        <f t="array" ref="P17">SUMPRODUCT(( $B17=CapexCategory)*(P$3&gt;=CapexMonth)*(P$3&lt;=SalOff)*DepExp)</f>
        <v>0</v>
      </c>
      <c r="Q17" s="117" cm="1">
        <f t="array" ref="Q17">SUMPRODUCT(( $B17=CapexCategory)*(Q$3&gt;=CapexMonth)*(Q$3&lt;=SalOff)*DepExp)</f>
        <v>0</v>
      </c>
      <c r="R17" s="117" cm="1">
        <f t="array" ref="R17">SUMPRODUCT(( $B17=CapexCategory)*(R$3&gt;=CapexMonth)*(R$3&lt;=SalOff)*DepExp)</f>
        <v>0</v>
      </c>
      <c r="S17" s="117" cm="1">
        <f t="array" ref="S17">SUMPRODUCT(( $B17=CapexCategory)*(S$3&gt;=CapexMonth)*(S$3&lt;=SalOff)*DepExp)</f>
        <v>0</v>
      </c>
      <c r="T17" s="117" cm="1">
        <f t="array" ref="T17">SUMPRODUCT(( $B17=CapexCategory)*(T$3&gt;=CapexMonth)*(T$3&lt;=SalOff)*DepExp)</f>
        <v>0</v>
      </c>
      <c r="U17" s="117" cm="1">
        <f t="array" ref="U17">SUMPRODUCT(( $B17=CapexCategory)*(U$3&gt;=CapexMonth)*(U$3&lt;=SalOff)*DepExp)</f>
        <v>0</v>
      </c>
      <c r="V17" s="237" cm="1">
        <f t="array" ref="V17">SUMPRODUCT(( $B17=CapexCategory)*(V$3&gt;=CapexMonth)*(V$3&lt;=SalOff)*DepExp)</f>
        <v>0</v>
      </c>
      <c r="W17" s="117" cm="1">
        <f t="array" ref="W17">SUMPRODUCT(( $B17=CapexCategory)*(W$3&gt;=CapexMonth)*(W$3&lt;=SalOff)*DepExp)</f>
        <v>0</v>
      </c>
      <c r="X17" s="117" cm="1">
        <f t="array" ref="X17">SUMPRODUCT(( $B17=CapexCategory)*(X$3&gt;=CapexMonth)*(X$3&lt;=SalOff)*DepExp)</f>
        <v>0</v>
      </c>
      <c r="Y17" s="117" cm="1">
        <f t="array" ref="Y17">SUMPRODUCT(( $B17=CapexCategory)*(Y$3&gt;=CapexMonth)*(Y$3&lt;=SalOff)*DepExp)</f>
        <v>0</v>
      </c>
      <c r="Z17" s="117" cm="1">
        <f t="array" ref="Z17">SUMPRODUCT(( $B17=CapexCategory)*(Z$3&gt;=CapexMonth)*(Z$3&lt;=SalOff)*DepExp)</f>
        <v>0</v>
      </c>
      <c r="AA17" s="117" cm="1">
        <f t="array" ref="AA17">SUMPRODUCT(( $B17=CapexCategory)*(AA$3&gt;=CapexMonth)*(AA$3&lt;=SalOff)*DepExp)</f>
        <v>0</v>
      </c>
      <c r="AB17" s="117" cm="1">
        <f t="array" ref="AB17">SUMPRODUCT(( $B17=CapexCategory)*(AB$3&gt;=CapexMonth)*(AB$3&lt;=SalOff)*DepExp)</f>
        <v>0</v>
      </c>
      <c r="AC17" s="117" cm="1">
        <f t="array" ref="AC17">SUMPRODUCT(( $B17=CapexCategory)*(AC$3&gt;=CapexMonth)*(AC$3&lt;=SalOff)*DepExp)</f>
        <v>0</v>
      </c>
      <c r="AD17" s="117" cm="1">
        <f t="array" ref="AD17">SUMPRODUCT(( $B17=CapexCategory)*(AD$3&gt;=CapexMonth)*(AD$3&lt;=SalOff)*DepExp)</f>
        <v>0</v>
      </c>
      <c r="AE17" s="117" cm="1">
        <f t="array" ref="AE17">SUMPRODUCT(( $B17=CapexCategory)*(AE$3&gt;=CapexMonth)*(AE$3&lt;=SalOff)*DepExp)</f>
        <v>0</v>
      </c>
      <c r="AF17" s="117" cm="1">
        <f t="array" ref="AF17">SUMPRODUCT(( $B17=CapexCategory)*(AF$3&gt;=CapexMonth)*(AF$3&lt;=SalOff)*DepExp)</f>
        <v>0</v>
      </c>
      <c r="AG17" s="117" cm="1">
        <f t="array" ref="AG17">SUMPRODUCT(( $B17=CapexCategory)*(AG$3&gt;=CapexMonth)*(AG$3&lt;=SalOff)*DepExp)</f>
        <v>0</v>
      </c>
      <c r="AH17" s="237" cm="1">
        <f t="array" ref="AH17">SUMPRODUCT(( $B17=CapexCategory)*(AH$3&gt;=CapexMonth)*(AH$3&lt;=SalOff)*DepExp)</f>
        <v>0</v>
      </c>
      <c r="AI17" s="117" cm="1">
        <f t="array" ref="AI17">SUMPRODUCT(( $B17=CapexCategory)*(AI$3&gt;=CapexMonth)*(AI$3&lt;=SalOff)*DepExp)</f>
        <v>0</v>
      </c>
      <c r="AJ17" s="117" cm="1">
        <f t="array" ref="AJ17">SUMPRODUCT(( $B17=CapexCategory)*(AJ$3&gt;=CapexMonth)*(AJ$3&lt;=SalOff)*DepExp)</f>
        <v>0</v>
      </c>
      <c r="AK17" s="117" cm="1">
        <f t="array" ref="AK17">SUMPRODUCT(( $B17=CapexCategory)*(AK$3&gt;=CapexMonth)*(AK$3&lt;=SalOff)*DepExp)</f>
        <v>0</v>
      </c>
      <c r="AL17" s="117" cm="1">
        <f t="array" ref="AL17">SUMPRODUCT(( $B17=CapexCategory)*(AL$3&gt;=CapexMonth)*(AL$3&lt;=SalOff)*DepExp)</f>
        <v>0</v>
      </c>
      <c r="AM17" s="117" cm="1">
        <f t="array" ref="AM17">SUMPRODUCT(( $B17=CapexCategory)*(AM$3&gt;=CapexMonth)*(AM$3&lt;=SalOff)*DepExp)</f>
        <v>0</v>
      </c>
      <c r="AN17" s="117" cm="1">
        <f t="array" ref="AN17">SUMPRODUCT(( $B17=CapexCategory)*(AN$3&gt;=CapexMonth)*(AN$3&lt;=SalOff)*DepExp)</f>
        <v>0</v>
      </c>
      <c r="AO17" s="117" cm="1">
        <f t="array" ref="AO17">SUMPRODUCT(( $B17=CapexCategory)*(AO$3&gt;=CapexMonth)*(AO$3&lt;=SalOff)*DepExp)</f>
        <v>0</v>
      </c>
      <c r="AP17" s="117" cm="1">
        <f t="array" ref="AP17">SUMPRODUCT(( $B17=CapexCategory)*(AP$3&gt;=CapexMonth)*(AP$3&lt;=SalOff)*DepExp)</f>
        <v>0</v>
      </c>
      <c r="AQ17" s="117" cm="1">
        <f t="array" ref="AQ17">SUMPRODUCT(( $B17=CapexCategory)*(AQ$3&gt;=CapexMonth)*(AQ$3&lt;=SalOff)*DepExp)</f>
        <v>0</v>
      </c>
      <c r="AR17" s="117" cm="1">
        <f t="array" ref="AR17">SUMPRODUCT(( $B17=CapexCategory)*(AR$3&gt;=CapexMonth)*(AR$3&lt;=SalOff)*DepExp)</f>
        <v>0</v>
      </c>
      <c r="AS17" s="117" cm="1">
        <f t="array" ref="AS17">SUMPRODUCT(( $B17=CapexCategory)*(AS$3&gt;=CapexMonth)*(AS$3&lt;=SalOff)*DepExp)</f>
        <v>0</v>
      </c>
      <c r="AT17" s="237" cm="1">
        <f t="array" ref="AT17">SUMPRODUCT(( $B17=CapexCategory)*(AT$3&gt;=CapexMonth)*(AT$3&lt;=SalOff)*DepExp)</f>
        <v>0</v>
      </c>
      <c r="AU17" s="117" cm="1">
        <f t="array" ref="AU17">SUMPRODUCT(( $B17=CapexCategory)*(AU$3&gt;=CapexMonth)*(AU$3&lt;=SalOff)*DepExp)</f>
        <v>0</v>
      </c>
      <c r="AV17" s="117" cm="1">
        <f t="array" ref="AV17">SUMPRODUCT(( $B17=CapexCategory)*(AV$3&gt;=CapexMonth)*(AV$3&lt;=SalOff)*DepExp)</f>
        <v>0</v>
      </c>
      <c r="AW17" s="117" cm="1">
        <f t="array" ref="AW17">SUMPRODUCT(( $B17=CapexCategory)*(AW$3&gt;=CapexMonth)*(AW$3&lt;=SalOff)*DepExp)</f>
        <v>0</v>
      </c>
      <c r="AX17" s="117" cm="1">
        <f t="array" ref="AX17">SUMPRODUCT(( $B17=CapexCategory)*(AX$3&gt;=CapexMonth)*(AX$3&lt;=SalOff)*DepExp)</f>
        <v>0</v>
      </c>
      <c r="AY17" s="117" cm="1">
        <f t="array" ref="AY17">SUMPRODUCT(( $B17=CapexCategory)*(AY$3&gt;=CapexMonth)*(AY$3&lt;=SalOff)*DepExp)</f>
        <v>0</v>
      </c>
      <c r="AZ17" s="117" cm="1">
        <f t="array" ref="AZ17">SUMPRODUCT(( $B17=CapexCategory)*(AZ$3&gt;=CapexMonth)*(AZ$3&lt;=SalOff)*DepExp)</f>
        <v>0</v>
      </c>
      <c r="BA17" s="117" cm="1">
        <f t="array" ref="BA17">SUMPRODUCT(( $B17=CapexCategory)*(BA$3&gt;=CapexMonth)*(BA$3&lt;=SalOff)*DepExp)</f>
        <v>0</v>
      </c>
      <c r="BB17" s="117" cm="1">
        <f t="array" ref="BB17">SUMPRODUCT(( $B17=CapexCategory)*(BB$3&gt;=CapexMonth)*(BB$3&lt;=SalOff)*DepExp)</f>
        <v>0</v>
      </c>
      <c r="BC17" s="117" cm="1">
        <f t="array" ref="BC17">SUMPRODUCT(( $B17=CapexCategory)*(BC$3&gt;=CapexMonth)*(BC$3&lt;=SalOff)*DepExp)</f>
        <v>0</v>
      </c>
      <c r="BD17" s="117" cm="1">
        <f t="array" ref="BD17">SUMPRODUCT(( $B17=CapexCategory)*(BD$3&gt;=CapexMonth)*(BD$3&lt;=SalOff)*DepExp)</f>
        <v>0</v>
      </c>
      <c r="BE17" s="117" cm="1">
        <f t="array" ref="BE17">SUMPRODUCT(( $B17=CapexCategory)*(BE$3&gt;=CapexMonth)*(BE$3&lt;=SalOff)*DepExp)</f>
        <v>0</v>
      </c>
      <c r="BF17" s="237" cm="1">
        <f t="array" ref="BF17">SUMPRODUCT(( $B17=CapexCategory)*(BF$3&gt;=CapexMonth)*(BF$3&lt;=SalOff)*DepExp)</f>
        <v>0</v>
      </c>
      <c r="BG17" s="117" cm="1">
        <f t="array" ref="BG17">SUMPRODUCT(( $B17=CapexCategory)*(BG$3&gt;=CapexMonth)*(BG$3&lt;=SalOff)*DepExp)</f>
        <v>0</v>
      </c>
      <c r="BH17" s="117" cm="1">
        <f t="array" ref="BH17">SUMPRODUCT(( $B17=CapexCategory)*(BH$3&gt;=CapexMonth)*(BH$3&lt;=SalOff)*DepExp)</f>
        <v>0</v>
      </c>
      <c r="BI17" s="117" cm="1">
        <f t="array" ref="BI17">SUMPRODUCT(( $B17=CapexCategory)*(BI$3&gt;=CapexMonth)*(BI$3&lt;=SalOff)*DepExp)</f>
        <v>0</v>
      </c>
      <c r="BJ17" s="117" cm="1">
        <f t="array" ref="BJ17">SUMPRODUCT(( $B17=CapexCategory)*(BJ$3&gt;=CapexMonth)*(BJ$3&lt;=SalOff)*DepExp)</f>
        <v>0</v>
      </c>
      <c r="BK17" s="117" cm="1">
        <f t="array" ref="BK17">SUMPRODUCT(( $B17=CapexCategory)*(BK$3&gt;=CapexMonth)*(BK$3&lt;=SalOff)*DepExp)</f>
        <v>0</v>
      </c>
      <c r="BL17" s="117" cm="1">
        <f t="array" ref="BL17">SUMPRODUCT(( $B17=CapexCategory)*(BL$3&gt;=CapexMonth)*(BL$3&lt;=SalOff)*DepExp)</f>
        <v>0</v>
      </c>
      <c r="BM17" s="117" cm="1">
        <f t="array" ref="BM17">SUMPRODUCT(( $B17=CapexCategory)*(BM$3&gt;=CapexMonth)*(BM$3&lt;=SalOff)*DepExp)</f>
        <v>0</v>
      </c>
      <c r="BN17" s="117" cm="1">
        <f t="array" ref="BN17">SUMPRODUCT(( $B17=CapexCategory)*(BN$3&gt;=CapexMonth)*(BN$3&lt;=SalOff)*DepExp)</f>
        <v>0</v>
      </c>
      <c r="BO17" s="117" cm="1">
        <f t="array" ref="BO17">SUMPRODUCT(( $B17=CapexCategory)*(BO$3&gt;=CapexMonth)*(BO$3&lt;=SalOff)*DepExp)</f>
        <v>0</v>
      </c>
      <c r="BP17" s="117" cm="1">
        <f t="array" ref="BP17">SUMPRODUCT(( $B17=CapexCategory)*(BP$3&gt;=CapexMonth)*(BP$3&lt;=SalOff)*DepExp)</f>
        <v>0</v>
      </c>
      <c r="BQ17" s="117" cm="1">
        <f t="array" ref="BQ17">SUMPRODUCT(( $B17=CapexCategory)*(BQ$3&gt;=CapexMonth)*(BQ$3&lt;=SalOff)*DepExp)</f>
        <v>0</v>
      </c>
      <c r="BR17" s="237" cm="1">
        <f t="array" ref="BR17">SUMPRODUCT(( $B17=CapexCategory)*(BR$3&gt;=CapexMonth)*(BR$3&lt;=SalOff)*DepExp)</f>
        <v>0</v>
      </c>
    </row>
    <row r="18" spans="1:70" x14ac:dyDescent="0.3">
      <c r="A18" s="14"/>
      <c r="B18" s="161" t="s">
        <v>181</v>
      </c>
      <c r="C18" s="160"/>
      <c r="E18" s="240">
        <f>SUM(K18:V18)</f>
        <v>0</v>
      </c>
      <c r="F18" s="240">
        <f>SUM(W18:AH18)</f>
        <v>10</v>
      </c>
      <c r="G18" s="240">
        <f>SUM(AI18:AT18)</f>
        <v>0</v>
      </c>
      <c r="H18" s="240">
        <f>SUM(AU18:BF18)</f>
        <v>0</v>
      </c>
      <c r="I18" s="240">
        <f>SUM(BG18:BR18)</f>
        <v>0</v>
      </c>
      <c r="J18" s="238"/>
      <c r="K18" s="241" cm="1">
        <f t="array" ref="K18">SUMPRODUCT(   ((ISBLANK(CapexCategory) + (CapexCategory="Other"))&gt;0) * (K$3&gt;=CapexMonth)*( K$3&lt;=SalOff)*DepExp)</f>
        <v>0</v>
      </c>
      <c r="L18" s="241" cm="1">
        <f t="array" ref="L18">SUMPRODUCT(   ((ISBLANK(CapexCategory) + (CapexCategory="Other"))&gt;0) * (L$3&gt;=CapexMonth)*( L$3&lt;=SalOff)*DepExp)</f>
        <v>0</v>
      </c>
      <c r="M18" s="241" cm="1">
        <f t="array" ref="M18">SUMPRODUCT(   ((ISBLANK(CapexCategory) + (CapexCategory="Other"))&gt;0) * (M$3&gt;=CapexMonth)*( M$3&lt;=SalOff)*DepExp)</f>
        <v>0</v>
      </c>
      <c r="N18" s="241" cm="1">
        <f t="array" ref="N18">SUMPRODUCT(   ((ISBLANK(CapexCategory) + (CapexCategory="Other"))&gt;0) * (N$3&gt;=CapexMonth)*( N$3&lt;=SalOff)*DepExp)</f>
        <v>0</v>
      </c>
      <c r="O18" s="241" cm="1">
        <f t="array" ref="O18">SUMPRODUCT(   ((ISBLANK(CapexCategory) + (CapexCategory="Other"))&gt;0) * (O$3&gt;=CapexMonth)*( O$3&lt;=SalOff)*DepExp)</f>
        <v>0</v>
      </c>
      <c r="P18" s="241" cm="1">
        <f t="array" ref="P18">SUMPRODUCT(   ((ISBLANK(CapexCategory) + (CapexCategory="Other"))&gt;0) * (P$3&gt;=CapexMonth)*( P$3&lt;=SalOff)*DepExp)</f>
        <v>0</v>
      </c>
      <c r="Q18" s="241" cm="1">
        <f t="array" ref="Q18">SUMPRODUCT(   ((ISBLANK(CapexCategory) + (CapexCategory="Other"))&gt;0) * (Q$3&gt;=CapexMonth)*( Q$3&lt;=SalOff)*DepExp)</f>
        <v>0</v>
      </c>
      <c r="R18" s="241" cm="1">
        <f t="array" ref="R18">SUMPRODUCT(   ((ISBLANK(CapexCategory) + (CapexCategory="Other"))&gt;0) * (R$3&gt;=CapexMonth)*( R$3&lt;=SalOff)*DepExp)</f>
        <v>0</v>
      </c>
      <c r="S18" s="241" cm="1">
        <f t="array" ref="S18">SUMPRODUCT(   ((ISBLANK(CapexCategory) + (CapexCategory="Other"))&gt;0) * (S$3&gt;=CapexMonth)*( S$3&lt;=SalOff)*DepExp)</f>
        <v>0</v>
      </c>
      <c r="T18" s="241" cm="1">
        <f t="array" ref="T18">SUMPRODUCT(   ((ISBLANK(CapexCategory) + (CapexCategory="Other"))&gt;0) * (T$3&gt;=CapexMonth)*( T$3&lt;=SalOff)*DepExp)</f>
        <v>0</v>
      </c>
      <c r="U18" s="241" cm="1">
        <f t="array" ref="U18">SUMPRODUCT(   ((ISBLANK(CapexCategory) + (CapexCategory="Other"))&gt;0) * (U$3&gt;=CapexMonth)*( U$3&lt;=SalOff)*DepExp)</f>
        <v>0</v>
      </c>
      <c r="V18" s="242" cm="1">
        <f t="array" ref="V18">SUMPRODUCT(   ((ISBLANK(CapexCategory) + (CapexCategory="Other"))&gt;0) * (V$3&gt;=CapexMonth)*( V$3&lt;=SalOff)*DepExp)</f>
        <v>0</v>
      </c>
      <c r="W18" s="241" cm="1">
        <f t="array" ref="W18">SUMPRODUCT(   ((ISBLANK(CapexCategory) + (CapexCategory="Other"))&gt;0) * (W$3&gt;=CapexMonth)*( W$3&lt;=SalOff)*DepExp)</f>
        <v>0</v>
      </c>
      <c r="X18" s="241" cm="1">
        <f t="array" ref="X18">SUMPRODUCT(   ((ISBLANK(CapexCategory) + (CapexCategory="Other"))&gt;0) * (X$3&gt;=CapexMonth)*( X$3&lt;=SalOff)*DepExp)</f>
        <v>0</v>
      </c>
      <c r="Y18" s="241" cm="1">
        <f t="array" ref="Y18">SUMPRODUCT(   ((ISBLANK(CapexCategory) + (CapexCategory="Other"))&gt;0) * (Y$3&gt;=CapexMonth)*( Y$3&lt;=SalOff)*DepExp)</f>
        <v>0</v>
      </c>
      <c r="Z18" s="241" cm="1">
        <f t="array" ref="Z18">SUMPRODUCT(   ((ISBLANK(CapexCategory) + (CapexCategory="Other"))&gt;0) * (Z$3&gt;=CapexMonth)*( Z$3&lt;=SalOff)*DepExp)</f>
        <v>0</v>
      </c>
      <c r="AA18" s="241" cm="1">
        <f t="array" ref="AA18">SUMPRODUCT(   ((ISBLANK(CapexCategory) + (CapexCategory="Other"))&gt;0) * (AA$3&gt;=CapexMonth)*( AA$3&lt;=SalOff)*DepExp)</f>
        <v>0</v>
      </c>
      <c r="AB18" s="241" cm="1">
        <f t="array" ref="AB18">SUMPRODUCT(   ((ISBLANK(CapexCategory) + (CapexCategory="Other"))&gt;0) * (AB$3&gt;=CapexMonth)*( AB$3&lt;=SalOff)*DepExp)</f>
        <v>3.3333333333333335</v>
      </c>
      <c r="AC18" s="241" cm="1">
        <f t="array" ref="AC18">SUMPRODUCT(   ((ISBLANK(CapexCategory) + (CapexCategory="Other"))&gt;0) * (AC$3&gt;=CapexMonth)*( AC$3&lt;=SalOff)*DepExp)</f>
        <v>3.3333333333333335</v>
      </c>
      <c r="AD18" s="241" cm="1">
        <f t="array" ref="AD18">SUMPRODUCT(   ((ISBLANK(CapexCategory) + (CapexCategory="Other"))&gt;0) * (AD$3&gt;=CapexMonth)*( AD$3&lt;=SalOff)*DepExp)</f>
        <v>3.3333333333333335</v>
      </c>
      <c r="AE18" s="241" cm="1">
        <f t="array" ref="AE18">SUMPRODUCT(   ((ISBLANK(CapexCategory) + (CapexCategory="Other"))&gt;0) * (AE$3&gt;=CapexMonth)*( AE$3&lt;=SalOff)*DepExp)</f>
        <v>0</v>
      </c>
      <c r="AF18" s="241" cm="1">
        <f t="array" ref="AF18">SUMPRODUCT(   ((ISBLANK(CapexCategory) + (CapexCategory="Other"))&gt;0) * (AF$3&gt;=CapexMonth)*( AF$3&lt;=SalOff)*DepExp)</f>
        <v>0</v>
      </c>
      <c r="AG18" s="241" cm="1">
        <f t="array" ref="AG18">SUMPRODUCT(   ((ISBLANK(CapexCategory) + (CapexCategory="Other"))&gt;0) * (AG$3&gt;=CapexMonth)*( AG$3&lt;=SalOff)*DepExp)</f>
        <v>0</v>
      </c>
      <c r="AH18" s="242" cm="1">
        <f t="array" ref="AH18">SUMPRODUCT(   ((ISBLANK(CapexCategory) + (CapexCategory="Other"))&gt;0) * (AH$3&gt;=CapexMonth)*( AH$3&lt;=SalOff)*DepExp)</f>
        <v>0</v>
      </c>
      <c r="AI18" s="241" cm="1">
        <f t="array" ref="AI18">SUMPRODUCT(   ((ISBLANK(CapexCategory) + (CapexCategory="Other"))&gt;0) * (AI$3&gt;=CapexMonth)*( AI$3&lt;=SalOff)*DepExp)</f>
        <v>0</v>
      </c>
      <c r="AJ18" s="241" cm="1">
        <f t="array" ref="AJ18">SUMPRODUCT(   ((ISBLANK(CapexCategory) + (CapexCategory="Other"))&gt;0) * (AJ$3&gt;=CapexMonth)*( AJ$3&lt;=SalOff)*DepExp)</f>
        <v>0</v>
      </c>
      <c r="AK18" s="241" cm="1">
        <f t="array" ref="AK18">SUMPRODUCT(   ((ISBLANK(CapexCategory) + (CapexCategory="Other"))&gt;0) * (AK$3&gt;=CapexMonth)*( AK$3&lt;=SalOff)*DepExp)</f>
        <v>0</v>
      </c>
      <c r="AL18" s="241" cm="1">
        <f t="array" ref="AL18">SUMPRODUCT(   ((ISBLANK(CapexCategory) + (CapexCategory="Other"))&gt;0) * (AL$3&gt;=CapexMonth)*( AL$3&lt;=SalOff)*DepExp)</f>
        <v>0</v>
      </c>
      <c r="AM18" s="241" cm="1">
        <f t="array" ref="AM18">SUMPRODUCT(   ((ISBLANK(CapexCategory) + (CapexCategory="Other"))&gt;0) * (AM$3&gt;=CapexMonth)*( AM$3&lt;=SalOff)*DepExp)</f>
        <v>0</v>
      </c>
      <c r="AN18" s="241" cm="1">
        <f t="array" ref="AN18">SUMPRODUCT(   ((ISBLANK(CapexCategory) + (CapexCategory="Other"))&gt;0) * (AN$3&gt;=CapexMonth)*( AN$3&lt;=SalOff)*DepExp)</f>
        <v>0</v>
      </c>
      <c r="AO18" s="241" cm="1">
        <f t="array" ref="AO18">SUMPRODUCT(   ((ISBLANK(CapexCategory) + (CapexCategory="Other"))&gt;0) * (AO$3&gt;=CapexMonth)*( AO$3&lt;=SalOff)*DepExp)</f>
        <v>0</v>
      </c>
      <c r="AP18" s="241" cm="1">
        <f t="array" ref="AP18">SUMPRODUCT(   ((ISBLANK(CapexCategory) + (CapexCategory="Other"))&gt;0) * (AP$3&gt;=CapexMonth)*( AP$3&lt;=SalOff)*DepExp)</f>
        <v>0</v>
      </c>
      <c r="AQ18" s="241" cm="1">
        <f t="array" ref="AQ18">SUMPRODUCT(   ((ISBLANK(CapexCategory) + (CapexCategory="Other"))&gt;0) * (AQ$3&gt;=CapexMonth)*( AQ$3&lt;=SalOff)*DepExp)</f>
        <v>0</v>
      </c>
      <c r="AR18" s="241" cm="1">
        <f t="array" ref="AR18">SUMPRODUCT(   ((ISBLANK(CapexCategory) + (CapexCategory="Other"))&gt;0) * (AR$3&gt;=CapexMonth)*( AR$3&lt;=SalOff)*DepExp)</f>
        <v>0</v>
      </c>
      <c r="AS18" s="241" cm="1">
        <f t="array" ref="AS18">SUMPRODUCT(   ((ISBLANK(CapexCategory) + (CapexCategory="Other"))&gt;0) * (AS$3&gt;=CapexMonth)*( AS$3&lt;=SalOff)*DepExp)</f>
        <v>0</v>
      </c>
      <c r="AT18" s="242" cm="1">
        <f t="array" ref="AT18">SUMPRODUCT(   ((ISBLANK(CapexCategory) + (CapexCategory="Other"))&gt;0) * (AT$3&gt;=CapexMonth)*( AT$3&lt;=SalOff)*DepExp)</f>
        <v>0</v>
      </c>
      <c r="AU18" s="241" cm="1">
        <f t="array" ref="AU18">SUMPRODUCT(   ((ISBLANK(CapexCategory) + (CapexCategory="Other"))&gt;0) * (AU$3&gt;=CapexMonth)*( AU$3&lt;=SalOff)*DepExp)</f>
        <v>0</v>
      </c>
      <c r="AV18" s="241" cm="1">
        <f t="array" ref="AV18">SUMPRODUCT(   ((ISBLANK(CapexCategory) + (CapexCategory="Other"))&gt;0) * (AV$3&gt;=CapexMonth)*( AV$3&lt;=SalOff)*DepExp)</f>
        <v>0</v>
      </c>
      <c r="AW18" s="241" cm="1">
        <f t="array" ref="AW18">SUMPRODUCT(   ((ISBLANK(CapexCategory) + (CapexCategory="Other"))&gt;0) * (AW$3&gt;=CapexMonth)*( AW$3&lt;=SalOff)*DepExp)</f>
        <v>0</v>
      </c>
      <c r="AX18" s="241" cm="1">
        <f t="array" ref="AX18">SUMPRODUCT(   ((ISBLANK(CapexCategory) + (CapexCategory="Other"))&gt;0) * (AX$3&gt;=CapexMonth)*( AX$3&lt;=SalOff)*DepExp)</f>
        <v>0</v>
      </c>
      <c r="AY18" s="241" cm="1">
        <f t="array" ref="AY18">SUMPRODUCT(   ((ISBLANK(CapexCategory) + (CapexCategory="Other"))&gt;0) * (AY$3&gt;=CapexMonth)*( AY$3&lt;=SalOff)*DepExp)</f>
        <v>0</v>
      </c>
      <c r="AZ18" s="241" cm="1">
        <f t="array" ref="AZ18">SUMPRODUCT(   ((ISBLANK(CapexCategory) + (CapexCategory="Other"))&gt;0) * (AZ$3&gt;=CapexMonth)*( AZ$3&lt;=SalOff)*DepExp)</f>
        <v>0</v>
      </c>
      <c r="BA18" s="241" cm="1">
        <f t="array" ref="BA18">SUMPRODUCT(   ((ISBLANK(CapexCategory) + (CapexCategory="Other"))&gt;0) * (BA$3&gt;=CapexMonth)*( BA$3&lt;=SalOff)*DepExp)</f>
        <v>0</v>
      </c>
      <c r="BB18" s="241" cm="1">
        <f t="array" ref="BB18">SUMPRODUCT(   ((ISBLANK(CapexCategory) + (CapexCategory="Other"))&gt;0) * (BB$3&gt;=CapexMonth)*( BB$3&lt;=SalOff)*DepExp)</f>
        <v>0</v>
      </c>
      <c r="BC18" s="241" cm="1">
        <f t="array" ref="BC18">SUMPRODUCT(   ((ISBLANK(CapexCategory) + (CapexCategory="Other"))&gt;0) * (BC$3&gt;=CapexMonth)*( BC$3&lt;=SalOff)*DepExp)</f>
        <v>0</v>
      </c>
      <c r="BD18" s="241" cm="1">
        <f t="array" ref="BD18">SUMPRODUCT(   ((ISBLANK(CapexCategory) + (CapexCategory="Other"))&gt;0) * (BD$3&gt;=CapexMonth)*( BD$3&lt;=SalOff)*DepExp)</f>
        <v>0</v>
      </c>
      <c r="BE18" s="241" cm="1">
        <f t="array" ref="BE18">SUMPRODUCT(   ((ISBLANK(CapexCategory) + (CapexCategory="Other"))&gt;0) * (BE$3&gt;=CapexMonth)*( BE$3&lt;=SalOff)*DepExp)</f>
        <v>0</v>
      </c>
      <c r="BF18" s="242" cm="1">
        <f t="array" ref="BF18">SUMPRODUCT(   ((ISBLANK(CapexCategory) + (CapexCategory="Other"))&gt;0) * (BF$3&gt;=CapexMonth)*( BF$3&lt;=SalOff)*DepExp)</f>
        <v>0</v>
      </c>
      <c r="BG18" s="241" cm="1">
        <f t="array" ref="BG18">SUMPRODUCT(   ((ISBLANK(CapexCategory) + (CapexCategory="Other"))&gt;0) * (BG$3&gt;=CapexMonth)*( BG$3&lt;=SalOff)*DepExp)</f>
        <v>0</v>
      </c>
      <c r="BH18" s="241" cm="1">
        <f t="array" ref="BH18">SUMPRODUCT(   ((ISBLANK(CapexCategory) + (CapexCategory="Other"))&gt;0) * (BH$3&gt;=CapexMonth)*( BH$3&lt;=SalOff)*DepExp)</f>
        <v>0</v>
      </c>
      <c r="BI18" s="241" cm="1">
        <f t="array" ref="BI18">SUMPRODUCT(   ((ISBLANK(CapexCategory) + (CapexCategory="Other"))&gt;0) * (BI$3&gt;=CapexMonth)*( BI$3&lt;=SalOff)*DepExp)</f>
        <v>0</v>
      </c>
      <c r="BJ18" s="241" cm="1">
        <f t="array" ref="BJ18">SUMPRODUCT(   ((ISBLANK(CapexCategory) + (CapexCategory="Other"))&gt;0) * (BJ$3&gt;=CapexMonth)*( BJ$3&lt;=SalOff)*DepExp)</f>
        <v>0</v>
      </c>
      <c r="BK18" s="241" cm="1">
        <f t="array" ref="BK18">SUMPRODUCT(   ((ISBLANK(CapexCategory) + (CapexCategory="Other"))&gt;0) * (BK$3&gt;=CapexMonth)*( BK$3&lt;=SalOff)*DepExp)</f>
        <v>0</v>
      </c>
      <c r="BL18" s="241" cm="1">
        <f t="array" ref="BL18">SUMPRODUCT(   ((ISBLANK(CapexCategory) + (CapexCategory="Other"))&gt;0) * (BL$3&gt;=CapexMonth)*( BL$3&lt;=SalOff)*DepExp)</f>
        <v>0</v>
      </c>
      <c r="BM18" s="241" cm="1">
        <f t="array" ref="BM18">SUMPRODUCT(   ((ISBLANK(CapexCategory) + (CapexCategory="Other"))&gt;0) * (BM$3&gt;=CapexMonth)*( BM$3&lt;=SalOff)*DepExp)</f>
        <v>0</v>
      </c>
      <c r="BN18" s="241" cm="1">
        <f t="array" ref="BN18">SUMPRODUCT(   ((ISBLANK(CapexCategory) + (CapexCategory="Other"))&gt;0) * (BN$3&gt;=CapexMonth)*( BN$3&lt;=SalOff)*DepExp)</f>
        <v>0</v>
      </c>
      <c r="BO18" s="241" cm="1">
        <f t="array" ref="BO18">SUMPRODUCT(   ((ISBLANK(CapexCategory) + (CapexCategory="Other"))&gt;0) * (BO$3&gt;=CapexMonth)*( BO$3&lt;=SalOff)*DepExp)</f>
        <v>0</v>
      </c>
      <c r="BP18" s="241" cm="1">
        <f t="array" ref="BP18">SUMPRODUCT(   ((ISBLANK(CapexCategory) + (CapexCategory="Other"))&gt;0) * (BP$3&gt;=CapexMonth)*( BP$3&lt;=SalOff)*DepExp)</f>
        <v>0</v>
      </c>
      <c r="BQ18" s="241" cm="1">
        <f t="array" ref="BQ18">SUMPRODUCT(   ((ISBLANK(CapexCategory) + (CapexCategory="Other"))&gt;0) * (BQ$3&gt;=CapexMonth)*( BQ$3&lt;=SalOff)*DepExp)</f>
        <v>0</v>
      </c>
      <c r="BR18" s="242" cm="1">
        <f t="array" ref="BR18">SUMPRODUCT(   ((ISBLANK(CapexCategory) + (CapexCategory="Other"))&gt;0) * (BR$3&gt;=CapexMonth)*( BR$3&lt;=SalOff)*DepExp)</f>
        <v>0</v>
      </c>
    </row>
    <row r="19" spans="1:70" s="321" customFormat="1" ht="15.6" x14ac:dyDescent="0.35">
      <c r="A19" s="233"/>
      <c r="B19" s="162" t="s">
        <v>222</v>
      </c>
      <c r="C19" s="185"/>
      <c r="D19" s="93"/>
      <c r="E19" s="294">
        <f>SUM(K19:V19)</f>
        <v>223.33333333333334</v>
      </c>
      <c r="F19" s="294">
        <f>SUM(W19:AH19)</f>
        <v>84.074074074074076</v>
      </c>
      <c r="G19" s="294">
        <f>SUM(AI19:AT19)</f>
        <v>0</v>
      </c>
      <c r="H19" s="294">
        <f>SUM(AU19:BF19)</f>
        <v>0</v>
      </c>
      <c r="I19" s="294">
        <f>SUM(BG19:BR19)</f>
        <v>0</v>
      </c>
      <c r="J19" s="238"/>
      <c r="K19" s="238">
        <f t="shared" ref="K19:BR19" si="6">SUM(K13:K18)</f>
        <v>4</v>
      </c>
      <c r="L19" s="238">
        <f t="shared" si="6"/>
        <v>4</v>
      </c>
      <c r="M19" s="238">
        <f t="shared" si="6"/>
        <v>4</v>
      </c>
      <c r="N19" s="238">
        <f t="shared" si="6"/>
        <v>13.25925925925926</v>
      </c>
      <c r="O19" s="238">
        <f t="shared" si="6"/>
        <v>13.25925925925926</v>
      </c>
      <c r="P19" s="238">
        <f t="shared" si="6"/>
        <v>20.402116402116402</v>
      </c>
      <c r="Q19" s="238">
        <f t="shared" si="6"/>
        <v>20.402116402116402</v>
      </c>
      <c r="R19" s="238">
        <f t="shared" si="6"/>
        <v>37.06878306878307</v>
      </c>
      <c r="S19" s="238">
        <f t="shared" si="6"/>
        <v>37.06878306878307</v>
      </c>
      <c r="T19" s="238">
        <f t="shared" si="6"/>
        <v>37.06878306878307</v>
      </c>
      <c r="U19" s="238">
        <f t="shared" si="6"/>
        <v>16.402116402116402</v>
      </c>
      <c r="V19" s="245">
        <f t="shared" si="6"/>
        <v>16.402116402116402</v>
      </c>
      <c r="W19" s="238">
        <f t="shared" si="6"/>
        <v>9.2592592592592595</v>
      </c>
      <c r="X19" s="238">
        <f t="shared" si="6"/>
        <v>9.2592592592592595</v>
      </c>
      <c r="Y19" s="238">
        <f t="shared" si="6"/>
        <v>9.2592592592592595</v>
      </c>
      <c r="Z19" s="238">
        <f t="shared" si="6"/>
        <v>9.2592592592592595</v>
      </c>
      <c r="AA19" s="238">
        <f t="shared" si="6"/>
        <v>9.2592592592592595</v>
      </c>
      <c r="AB19" s="238">
        <f t="shared" si="6"/>
        <v>12.592592592592593</v>
      </c>
      <c r="AC19" s="238">
        <f t="shared" si="6"/>
        <v>12.592592592592593</v>
      </c>
      <c r="AD19" s="238">
        <f t="shared" si="6"/>
        <v>12.592592592592593</v>
      </c>
      <c r="AE19" s="238">
        <f t="shared" si="6"/>
        <v>0</v>
      </c>
      <c r="AF19" s="238">
        <f t="shared" si="6"/>
        <v>0</v>
      </c>
      <c r="AG19" s="238">
        <f t="shared" si="6"/>
        <v>0</v>
      </c>
      <c r="AH19" s="245">
        <f t="shared" si="6"/>
        <v>0</v>
      </c>
      <c r="AI19" s="238">
        <f t="shared" si="6"/>
        <v>0</v>
      </c>
      <c r="AJ19" s="238">
        <f t="shared" si="6"/>
        <v>0</v>
      </c>
      <c r="AK19" s="238">
        <f t="shared" si="6"/>
        <v>0</v>
      </c>
      <c r="AL19" s="238">
        <f t="shared" si="6"/>
        <v>0</v>
      </c>
      <c r="AM19" s="238">
        <f t="shared" si="6"/>
        <v>0</v>
      </c>
      <c r="AN19" s="238">
        <f t="shared" si="6"/>
        <v>0</v>
      </c>
      <c r="AO19" s="238">
        <f t="shared" si="6"/>
        <v>0</v>
      </c>
      <c r="AP19" s="238">
        <f t="shared" si="6"/>
        <v>0</v>
      </c>
      <c r="AQ19" s="238">
        <f t="shared" si="6"/>
        <v>0</v>
      </c>
      <c r="AR19" s="238">
        <f t="shared" si="6"/>
        <v>0</v>
      </c>
      <c r="AS19" s="238">
        <f t="shared" si="6"/>
        <v>0</v>
      </c>
      <c r="AT19" s="245">
        <f t="shared" si="6"/>
        <v>0</v>
      </c>
      <c r="AU19" s="238">
        <f t="shared" si="6"/>
        <v>0</v>
      </c>
      <c r="AV19" s="238">
        <f t="shared" si="6"/>
        <v>0</v>
      </c>
      <c r="AW19" s="238">
        <f t="shared" si="6"/>
        <v>0</v>
      </c>
      <c r="AX19" s="238">
        <f t="shared" si="6"/>
        <v>0</v>
      </c>
      <c r="AY19" s="238">
        <f t="shared" si="6"/>
        <v>0</v>
      </c>
      <c r="AZ19" s="238">
        <f t="shared" si="6"/>
        <v>0</v>
      </c>
      <c r="BA19" s="238">
        <f t="shared" si="6"/>
        <v>0</v>
      </c>
      <c r="BB19" s="238">
        <f t="shared" si="6"/>
        <v>0</v>
      </c>
      <c r="BC19" s="238">
        <f t="shared" si="6"/>
        <v>0</v>
      </c>
      <c r="BD19" s="238">
        <f t="shared" si="6"/>
        <v>0</v>
      </c>
      <c r="BE19" s="238">
        <f t="shared" si="6"/>
        <v>0</v>
      </c>
      <c r="BF19" s="245">
        <f t="shared" si="6"/>
        <v>0</v>
      </c>
      <c r="BG19" s="238">
        <f t="shared" si="6"/>
        <v>0</v>
      </c>
      <c r="BH19" s="238">
        <f t="shared" si="6"/>
        <v>0</v>
      </c>
      <c r="BI19" s="238">
        <f t="shared" si="6"/>
        <v>0</v>
      </c>
      <c r="BJ19" s="238">
        <f t="shared" si="6"/>
        <v>0</v>
      </c>
      <c r="BK19" s="238">
        <f t="shared" si="6"/>
        <v>0</v>
      </c>
      <c r="BL19" s="238">
        <f t="shared" si="6"/>
        <v>0</v>
      </c>
      <c r="BM19" s="238">
        <f t="shared" si="6"/>
        <v>0</v>
      </c>
      <c r="BN19" s="238">
        <f t="shared" si="6"/>
        <v>0</v>
      </c>
      <c r="BO19" s="238">
        <f t="shared" si="6"/>
        <v>0</v>
      </c>
      <c r="BP19" s="238">
        <f t="shared" si="6"/>
        <v>0</v>
      </c>
      <c r="BQ19" s="238">
        <f t="shared" si="6"/>
        <v>0</v>
      </c>
      <c r="BR19" s="245">
        <f t="shared" si="6"/>
        <v>0</v>
      </c>
    </row>
    <row r="20" spans="1:70" s="321" customFormat="1" ht="15.6" hidden="1" x14ac:dyDescent="0.35">
      <c r="A20" s="93"/>
      <c r="B20" s="231" t="s">
        <v>47</v>
      </c>
      <c r="C20" s="185"/>
      <c r="D20" s="93"/>
      <c r="E20" s="243">
        <f t="shared" ref="E20" si="7">V20</f>
        <v>-83.333333333333343</v>
      </c>
      <c r="F20" s="243">
        <f t="shared" ref="F20" si="8">AH20</f>
        <v>0</v>
      </c>
      <c r="G20" s="243">
        <f t="shared" ref="G20" si="9">AT20</f>
        <v>0</v>
      </c>
      <c r="H20" s="243">
        <f t="shared" ref="H20" si="10">BF20</f>
        <v>0</v>
      </c>
      <c r="I20" s="243">
        <f t="shared" ref="I20" si="11">BR20</f>
        <v>0</v>
      </c>
      <c r="J20" s="238"/>
      <c r="K20" s="117" cm="1">
        <f t="array" ref="K20">SUMPRODUCT( (CapexCategory=$B20)*(K$3&gt;=CapexMonth) * (K$3&lt;=DepStop)* ((K$3-CapexMonth+1)*-DepExp) )</f>
        <v>0</v>
      </c>
      <c r="L20" s="117" cm="1">
        <f t="array" ref="L20">SUMPRODUCT( (CapexCategory=$B20)*(L$3&gt;=CapexMonth) * (L$3&lt;=DepStop)* ((L$3-CapexMonth+1)*-DepExp) )</f>
        <v>0</v>
      </c>
      <c r="M20" s="117" cm="1">
        <f t="array" ref="M20">SUMPRODUCT( (CapexCategory=$B20)*(M$3&gt;=CapexMonth) * (M$3&lt;=DepStop)* ((M$3-CapexMonth+1)*-DepExp) )</f>
        <v>0</v>
      </c>
      <c r="N20" s="117" cm="1">
        <f t="array" ref="N20">SUMPRODUCT( (CapexCategory=$B20)*(N$3&gt;=CapexMonth) * (N$3&lt;=DepStop)* ((N$3-CapexMonth+1)*-DepExp) )</f>
        <v>-9.2592592592592595</v>
      </c>
      <c r="O20" s="117" cm="1">
        <f t="array" ref="O20">SUMPRODUCT( (CapexCategory=$B20)*(O$3&gt;=CapexMonth) * (O$3&lt;=DepStop)* ((O$3-CapexMonth+1)*-DepExp) )</f>
        <v>-18.518518518518519</v>
      </c>
      <c r="P20" s="117" cm="1">
        <f t="array" ref="P20">SUMPRODUCT( (CapexCategory=$B20)*(P$3&gt;=CapexMonth) * (P$3&lt;=DepStop)* ((P$3-CapexMonth+1)*-DepExp) )</f>
        <v>-27.777777777777779</v>
      </c>
      <c r="Q20" s="117" cm="1">
        <f t="array" ref="Q20">SUMPRODUCT( (CapexCategory=$B20)*(Q$3&gt;=CapexMonth) * (Q$3&lt;=DepStop)* ((Q$3-CapexMonth+1)*-DepExp) )</f>
        <v>-37.037037037037038</v>
      </c>
      <c r="R20" s="117" cm="1">
        <f t="array" ref="R20">SUMPRODUCT( (CapexCategory=$B20)*(R$3&gt;=CapexMonth) * (R$3&lt;=DepStop)* ((R$3-CapexMonth+1)*-DepExp) )</f>
        <v>-46.296296296296298</v>
      </c>
      <c r="S20" s="117" cm="1">
        <f t="array" ref="S20">SUMPRODUCT( (CapexCategory=$B20)*(S$3&gt;=CapexMonth) * (S$3&lt;=DepStop)* ((S$3-CapexMonth+1)*-DepExp) )</f>
        <v>-55.555555555555557</v>
      </c>
      <c r="T20" s="117" cm="1">
        <f t="array" ref="T20">SUMPRODUCT( (CapexCategory=$B20)*(T$3&gt;=CapexMonth) * (T$3&lt;=DepStop)* ((T$3-CapexMonth+1)*-DepExp) )</f>
        <v>-64.81481481481481</v>
      </c>
      <c r="U20" s="117" cm="1">
        <f t="array" ref="U20">SUMPRODUCT( (CapexCategory=$B20)*(U$3&gt;=CapexMonth) * (U$3&lt;=DepStop)* ((U$3-CapexMonth+1)*-DepExp) )</f>
        <v>-74.074074074074076</v>
      </c>
      <c r="V20" s="243" cm="1">
        <f t="array" ref="V20">SUMPRODUCT( (CapexCategory=$B20)*(V$3&gt;=CapexMonth) * (V$3&lt;=DepStop)* ((V$3-CapexMonth+1)*-DepExp) )</f>
        <v>-83.333333333333343</v>
      </c>
      <c r="W20" s="117" cm="1">
        <f t="array" ref="W20">SUMPRODUCT( (CapexCategory=$B20)*(W$3&gt;=CapexMonth) * (W$3&lt;=DepStop)* ((W$3-CapexMonth+1)*-DepExp) )</f>
        <v>-92.592592592592595</v>
      </c>
      <c r="X20" s="117" cm="1">
        <f t="array" ref="X20">SUMPRODUCT( (CapexCategory=$B20)*(X$3&gt;=CapexMonth) * (X$3&lt;=DepStop)* ((X$3-CapexMonth+1)*-DepExp) )</f>
        <v>-101.85185185185185</v>
      </c>
      <c r="Y20" s="117" cm="1">
        <f t="array" ref="Y20">SUMPRODUCT( (CapexCategory=$B20)*(Y$3&gt;=CapexMonth) * (Y$3&lt;=DepStop)* ((Y$3-CapexMonth+1)*-DepExp) )</f>
        <v>-111.11111111111111</v>
      </c>
      <c r="Z20" s="117" cm="1">
        <f t="array" ref="Z20">SUMPRODUCT( (CapexCategory=$B20)*(Z$3&gt;=CapexMonth) * (Z$3&lt;=DepStop)* ((Z$3-CapexMonth+1)*-DepExp) )</f>
        <v>-120.37037037037038</v>
      </c>
      <c r="AA20" s="117" cm="1">
        <f t="array" ref="AA20">SUMPRODUCT( (CapexCategory=$B20)*(AA$3&gt;=CapexMonth) * (AA$3&lt;=DepStop)* ((AA$3-CapexMonth+1)*-DepExp) )</f>
        <v>-129.62962962962962</v>
      </c>
      <c r="AB20" s="117" cm="1">
        <f t="array" ref="AB20">SUMPRODUCT( (CapexCategory=$B20)*(AB$3&gt;=CapexMonth) * (AB$3&lt;=DepStop)* ((AB$3-CapexMonth+1)*-DepExp) )</f>
        <v>-138.88888888888889</v>
      </c>
      <c r="AC20" s="117" cm="1">
        <f t="array" ref="AC20">SUMPRODUCT( (CapexCategory=$B20)*(AC$3&gt;=CapexMonth) * (AC$3&lt;=DepStop)* ((AC$3-CapexMonth+1)*-DepExp) )</f>
        <v>-148.14814814814815</v>
      </c>
      <c r="AD20" s="117" cm="1">
        <f t="array" ref="AD20">SUMPRODUCT( (CapexCategory=$B20)*(AD$3&gt;=CapexMonth) * (AD$3&lt;=DepStop)* ((AD$3-CapexMonth+1)*-DepExp) )</f>
        <v>-157.40740740740742</v>
      </c>
      <c r="AE20" s="117" cm="1">
        <f t="array" ref="AE20">SUMPRODUCT( (CapexCategory=$B20)*(AE$3&gt;=CapexMonth) * (AE$3&lt;=DepStop)* ((AE$3-CapexMonth+1)*-DepExp) )</f>
        <v>0</v>
      </c>
      <c r="AF20" s="117" cm="1">
        <f t="array" ref="AF20">SUMPRODUCT( (CapexCategory=$B20)*(AF$3&gt;=CapexMonth) * (AF$3&lt;=DepStop)* ((AF$3-CapexMonth+1)*-DepExp) )</f>
        <v>0</v>
      </c>
      <c r="AG20" s="117" cm="1">
        <f t="array" ref="AG20">SUMPRODUCT( (CapexCategory=$B20)*(AG$3&gt;=CapexMonth) * (AG$3&lt;=DepStop)* ((AG$3-CapexMonth+1)*-DepExp) )</f>
        <v>0</v>
      </c>
      <c r="AH20" s="243" cm="1">
        <f t="array" ref="AH20">SUMPRODUCT( (CapexCategory=$B20)*(AH$3&gt;=CapexMonth) * (AH$3&lt;=DepStop)* ((AH$3-CapexMonth+1)*-DepExp) )</f>
        <v>0</v>
      </c>
      <c r="AI20" s="117" cm="1">
        <f t="array" ref="AI20">SUMPRODUCT( (CapexCategory=$B20)*(AI$3&gt;=CapexMonth) * (AI$3&lt;=DepStop)* ((AI$3-CapexMonth+1)*-DepExp) )</f>
        <v>0</v>
      </c>
      <c r="AJ20" s="117" cm="1">
        <f t="array" ref="AJ20">SUMPRODUCT( (CapexCategory=$B20)*(AJ$3&gt;=CapexMonth) * (AJ$3&lt;=DepStop)* ((AJ$3-CapexMonth+1)*-DepExp) )</f>
        <v>0</v>
      </c>
      <c r="AK20" s="117" cm="1">
        <f t="array" ref="AK20">SUMPRODUCT( (CapexCategory=$B20)*(AK$3&gt;=CapexMonth) * (AK$3&lt;=DepStop)* ((AK$3-CapexMonth+1)*-DepExp) )</f>
        <v>0</v>
      </c>
      <c r="AL20" s="117" cm="1">
        <f t="array" ref="AL20">SUMPRODUCT( (CapexCategory=$B20)*(AL$3&gt;=CapexMonth) * (AL$3&lt;=DepStop)* ((AL$3-CapexMonth+1)*-DepExp) )</f>
        <v>0</v>
      </c>
      <c r="AM20" s="117" cm="1">
        <f t="array" ref="AM20">SUMPRODUCT( (CapexCategory=$B20)*(AM$3&gt;=CapexMonth) * (AM$3&lt;=DepStop)* ((AM$3-CapexMonth+1)*-DepExp) )</f>
        <v>0</v>
      </c>
      <c r="AN20" s="117" cm="1">
        <f t="array" ref="AN20">SUMPRODUCT( (CapexCategory=$B20)*(AN$3&gt;=CapexMonth) * (AN$3&lt;=DepStop)* ((AN$3-CapexMonth+1)*-DepExp) )</f>
        <v>0</v>
      </c>
      <c r="AO20" s="117" cm="1">
        <f t="array" ref="AO20">SUMPRODUCT( (CapexCategory=$B20)*(AO$3&gt;=CapexMonth) * (AO$3&lt;=DepStop)* ((AO$3-CapexMonth+1)*-DepExp) )</f>
        <v>0</v>
      </c>
      <c r="AP20" s="117" cm="1">
        <f t="array" ref="AP20">SUMPRODUCT( (CapexCategory=$B20)*(AP$3&gt;=CapexMonth) * (AP$3&lt;=DepStop)* ((AP$3-CapexMonth+1)*-DepExp) )</f>
        <v>0</v>
      </c>
      <c r="AQ20" s="117" cm="1">
        <f t="array" ref="AQ20">SUMPRODUCT( (CapexCategory=$B20)*(AQ$3&gt;=CapexMonth) * (AQ$3&lt;=DepStop)* ((AQ$3-CapexMonth+1)*-DepExp) )</f>
        <v>0</v>
      </c>
      <c r="AR20" s="117" cm="1">
        <f t="array" ref="AR20">SUMPRODUCT( (CapexCategory=$B20)*(AR$3&gt;=CapexMonth) * (AR$3&lt;=DepStop)* ((AR$3-CapexMonth+1)*-DepExp) )</f>
        <v>0</v>
      </c>
      <c r="AS20" s="117" cm="1">
        <f t="array" ref="AS20">SUMPRODUCT( (CapexCategory=$B20)*(AS$3&gt;=CapexMonth) * (AS$3&lt;=DepStop)* ((AS$3-CapexMonth+1)*-DepExp) )</f>
        <v>0</v>
      </c>
      <c r="AT20" s="243" cm="1">
        <f t="array" ref="AT20">SUMPRODUCT( (CapexCategory=$B20)*(AT$3&gt;=CapexMonth) * (AT$3&lt;=DepStop)* ((AT$3-CapexMonth+1)*-DepExp) )</f>
        <v>0</v>
      </c>
      <c r="AU20" s="117" cm="1">
        <f t="array" ref="AU20">SUMPRODUCT( (CapexCategory=$B20)*(AU$3&gt;=CapexMonth) * (AU$3&lt;=DepStop)* ((AU$3-CapexMonth+1)*-DepExp) )</f>
        <v>0</v>
      </c>
      <c r="AV20" s="117" cm="1">
        <f t="array" ref="AV20">SUMPRODUCT( (CapexCategory=$B20)*(AV$3&gt;=CapexMonth) * (AV$3&lt;=DepStop)* ((AV$3-CapexMonth+1)*-DepExp) )</f>
        <v>0</v>
      </c>
      <c r="AW20" s="117" cm="1">
        <f t="array" ref="AW20">SUMPRODUCT( (CapexCategory=$B20)*(AW$3&gt;=CapexMonth) * (AW$3&lt;=DepStop)* ((AW$3-CapexMonth+1)*-DepExp) )</f>
        <v>0</v>
      </c>
      <c r="AX20" s="117" cm="1">
        <f t="array" ref="AX20">SUMPRODUCT( (CapexCategory=$B20)*(AX$3&gt;=CapexMonth) * (AX$3&lt;=DepStop)* ((AX$3-CapexMonth+1)*-DepExp) )</f>
        <v>0</v>
      </c>
      <c r="AY20" s="117" cm="1">
        <f t="array" ref="AY20">SUMPRODUCT( (CapexCategory=$B20)*(AY$3&gt;=CapexMonth) * (AY$3&lt;=DepStop)* ((AY$3-CapexMonth+1)*-DepExp) )</f>
        <v>0</v>
      </c>
      <c r="AZ20" s="117" cm="1">
        <f t="array" ref="AZ20">SUMPRODUCT( (CapexCategory=$B20)*(AZ$3&gt;=CapexMonth) * (AZ$3&lt;=DepStop)* ((AZ$3-CapexMonth+1)*-DepExp) )</f>
        <v>0</v>
      </c>
      <c r="BA20" s="117" cm="1">
        <f t="array" ref="BA20">SUMPRODUCT( (CapexCategory=$B20)*(BA$3&gt;=CapexMonth) * (BA$3&lt;=DepStop)* ((BA$3-CapexMonth+1)*-DepExp) )</f>
        <v>0</v>
      </c>
      <c r="BB20" s="117" cm="1">
        <f t="array" ref="BB20">SUMPRODUCT( (CapexCategory=$B20)*(BB$3&gt;=CapexMonth) * (BB$3&lt;=DepStop)* ((BB$3-CapexMonth+1)*-DepExp) )</f>
        <v>0</v>
      </c>
      <c r="BC20" s="117" cm="1">
        <f t="array" ref="BC20">SUMPRODUCT( (CapexCategory=$B20)*(BC$3&gt;=CapexMonth) * (BC$3&lt;=DepStop)* ((BC$3-CapexMonth+1)*-DepExp) )</f>
        <v>0</v>
      </c>
      <c r="BD20" s="117" cm="1">
        <f t="array" ref="BD20">SUMPRODUCT( (CapexCategory=$B20)*(BD$3&gt;=CapexMonth) * (BD$3&lt;=DepStop)* ((BD$3-CapexMonth+1)*-DepExp) )</f>
        <v>0</v>
      </c>
      <c r="BE20" s="117" cm="1">
        <f t="array" ref="BE20">SUMPRODUCT( (CapexCategory=$B20)*(BE$3&gt;=CapexMonth) * (BE$3&lt;=DepStop)* ((BE$3-CapexMonth+1)*-DepExp) )</f>
        <v>0</v>
      </c>
      <c r="BF20" s="243" cm="1">
        <f t="array" ref="BF20">SUMPRODUCT( (CapexCategory=$B20)*(BF$3&gt;=CapexMonth) * (BF$3&lt;=DepStop)* ((BF$3-CapexMonth+1)*-DepExp) )</f>
        <v>0</v>
      </c>
      <c r="BG20" s="117" cm="1">
        <f t="array" ref="BG20">SUMPRODUCT( (CapexCategory=$B20)*(BG$3&gt;=CapexMonth) * (BG$3&lt;=DepStop)* ((BG$3-CapexMonth+1)*-DepExp) )</f>
        <v>0</v>
      </c>
      <c r="BH20" s="117" cm="1">
        <f t="array" ref="BH20">SUMPRODUCT( (CapexCategory=$B20)*(BH$3&gt;=CapexMonth) * (BH$3&lt;=DepStop)* ((BH$3-CapexMonth+1)*-DepExp) )</f>
        <v>0</v>
      </c>
      <c r="BI20" s="117" cm="1">
        <f t="array" ref="BI20">SUMPRODUCT( (CapexCategory=$B20)*(BI$3&gt;=CapexMonth) * (BI$3&lt;=DepStop)* ((BI$3-CapexMonth+1)*-DepExp) )</f>
        <v>0</v>
      </c>
      <c r="BJ20" s="117" cm="1">
        <f t="array" ref="BJ20">SUMPRODUCT( (CapexCategory=$B20)*(BJ$3&gt;=CapexMonth) * (BJ$3&lt;=DepStop)* ((BJ$3-CapexMonth+1)*-DepExp) )</f>
        <v>0</v>
      </c>
      <c r="BK20" s="117" cm="1">
        <f t="array" ref="BK20">SUMPRODUCT( (CapexCategory=$B20)*(BK$3&gt;=CapexMonth) * (BK$3&lt;=DepStop)* ((BK$3-CapexMonth+1)*-DepExp) )</f>
        <v>0</v>
      </c>
      <c r="BL20" s="117" cm="1">
        <f t="array" ref="BL20">SUMPRODUCT( (CapexCategory=$B20)*(BL$3&gt;=CapexMonth) * (BL$3&lt;=DepStop)* ((BL$3-CapexMonth+1)*-DepExp) )</f>
        <v>0</v>
      </c>
      <c r="BM20" s="117" cm="1">
        <f t="array" ref="BM20">SUMPRODUCT( (CapexCategory=$B20)*(BM$3&gt;=CapexMonth) * (BM$3&lt;=DepStop)* ((BM$3-CapexMonth+1)*-DepExp) )</f>
        <v>0</v>
      </c>
      <c r="BN20" s="117" cm="1">
        <f t="array" ref="BN20">SUMPRODUCT( (CapexCategory=$B20)*(BN$3&gt;=CapexMonth) * (BN$3&lt;=DepStop)* ((BN$3-CapexMonth+1)*-DepExp) )</f>
        <v>0</v>
      </c>
      <c r="BO20" s="117" cm="1">
        <f t="array" ref="BO20">SUMPRODUCT( (CapexCategory=$B20)*(BO$3&gt;=CapexMonth) * (BO$3&lt;=DepStop)* ((BO$3-CapexMonth+1)*-DepExp) )</f>
        <v>0</v>
      </c>
      <c r="BP20" s="117" cm="1">
        <f t="array" ref="BP20">SUMPRODUCT( (CapexCategory=$B20)*(BP$3&gt;=CapexMonth) * (BP$3&lt;=DepStop)* ((BP$3-CapexMonth+1)*-DepExp) )</f>
        <v>0</v>
      </c>
      <c r="BQ20" s="117" cm="1">
        <f t="array" ref="BQ20">SUMPRODUCT( (CapexCategory=$B20)*(BQ$3&gt;=CapexMonth) * (BQ$3&lt;=DepStop)* ((BQ$3-CapexMonth+1)*-DepExp) )</f>
        <v>0</v>
      </c>
      <c r="BR20" s="243" cm="1">
        <f t="array" ref="BR20">SUMPRODUCT( (CapexCategory=$B20)*(BR$3&gt;=CapexMonth) * (BR$3&lt;=DepStop)* ((BR$3-CapexMonth+1)*-DepExp) )</f>
        <v>0</v>
      </c>
    </row>
    <row r="21" spans="1:70" s="321" customFormat="1" ht="15.6" hidden="1" x14ac:dyDescent="0.35">
      <c r="A21" s="93"/>
      <c r="B21" s="231" t="s">
        <v>51</v>
      </c>
      <c r="C21" s="185"/>
      <c r="D21" s="93"/>
      <c r="E21" s="243">
        <f t="shared" ref="E21:E25" si="12">V21</f>
        <v>0</v>
      </c>
      <c r="F21" s="243">
        <f t="shared" ref="F21:F25" si="13">AH21</f>
        <v>0</v>
      </c>
      <c r="G21" s="243">
        <f t="shared" ref="G21:G25" si="14">AT21</f>
        <v>0</v>
      </c>
      <c r="H21" s="243">
        <f t="shared" ref="H21:H25" si="15">BF21</f>
        <v>0</v>
      </c>
      <c r="I21" s="243">
        <f t="shared" ref="I21:I25" si="16">BR21</f>
        <v>0</v>
      </c>
      <c r="J21" s="238"/>
      <c r="K21" s="117" cm="1">
        <f t="array" ref="K21">SUMPRODUCT( (CapexCategory=$B21)*(K$3&gt;=CapexMonth) * (K$3&lt;=DepStop)* ((K$3-CapexMonth+1)*-DepExp) )</f>
        <v>-4</v>
      </c>
      <c r="L21" s="117" cm="1">
        <f t="array" ref="L21">SUMPRODUCT( (CapexCategory=$B21)*(L$3&gt;=CapexMonth) * (L$3&lt;=DepStop)* ((L$3-CapexMonth+1)*-DepExp) )</f>
        <v>-8</v>
      </c>
      <c r="M21" s="117" cm="1">
        <f t="array" ref="M21">SUMPRODUCT( (CapexCategory=$B21)*(M$3&gt;=CapexMonth) * (M$3&lt;=DepStop)* ((M$3-CapexMonth+1)*-DepExp) )</f>
        <v>-12</v>
      </c>
      <c r="N21" s="117" cm="1">
        <f t="array" ref="N21">SUMPRODUCT( (CapexCategory=$B21)*(N$3&gt;=CapexMonth) * (N$3&lt;=DepStop)* ((N$3-CapexMonth+1)*-DepExp) )</f>
        <v>-16</v>
      </c>
      <c r="O21" s="117" cm="1">
        <f t="array" ref="O21">SUMPRODUCT( (CapexCategory=$B21)*(O$3&gt;=CapexMonth) * (O$3&lt;=DepStop)* ((O$3-CapexMonth+1)*-DepExp) )</f>
        <v>-20</v>
      </c>
      <c r="P21" s="117" cm="1">
        <f t="array" ref="P21">SUMPRODUCT( (CapexCategory=$B21)*(P$3&gt;=CapexMonth) * (P$3&lt;=DepStop)* ((P$3-CapexMonth+1)*-DepExp) )</f>
        <v>-24</v>
      </c>
      <c r="Q21" s="117" cm="1">
        <f t="array" ref="Q21">SUMPRODUCT( (CapexCategory=$B21)*(Q$3&gt;=CapexMonth) * (Q$3&lt;=DepStop)* ((Q$3-CapexMonth+1)*-DepExp) )</f>
        <v>-28</v>
      </c>
      <c r="R21" s="117" cm="1">
        <f t="array" ref="R21">SUMPRODUCT( (CapexCategory=$B21)*(R$3&gt;=CapexMonth) * (R$3&lt;=DepStop)* ((R$3-CapexMonth+1)*-DepExp) )</f>
        <v>-32</v>
      </c>
      <c r="S21" s="117" cm="1">
        <f t="array" ref="S21">SUMPRODUCT( (CapexCategory=$B21)*(S$3&gt;=CapexMonth) * (S$3&lt;=DepStop)* ((S$3-CapexMonth+1)*-DepExp) )</f>
        <v>-36</v>
      </c>
      <c r="T21" s="117" cm="1">
        <f t="array" ref="T21">SUMPRODUCT( (CapexCategory=$B21)*(T$3&gt;=CapexMonth) * (T$3&lt;=DepStop)* ((T$3-CapexMonth+1)*-DepExp) )</f>
        <v>-40</v>
      </c>
      <c r="U21" s="117" cm="1">
        <f t="array" ref="U21">SUMPRODUCT( (CapexCategory=$B21)*(U$3&gt;=CapexMonth) * (U$3&lt;=DepStop)* ((U$3-CapexMonth+1)*-DepExp) )</f>
        <v>0</v>
      </c>
      <c r="V21" s="243" cm="1">
        <f t="array" ref="V21">SUMPRODUCT( (CapexCategory=$B21)*(V$3&gt;=CapexMonth) * (V$3&lt;=DepStop)* ((V$3-CapexMonth+1)*-DepExp) )</f>
        <v>0</v>
      </c>
      <c r="W21" s="117" cm="1">
        <f t="array" ref="W21">SUMPRODUCT( (CapexCategory=$B21)*(W$3&gt;=CapexMonth) * (W$3&lt;=DepStop)* ((W$3-CapexMonth+1)*-DepExp) )</f>
        <v>0</v>
      </c>
      <c r="X21" s="117" cm="1">
        <f t="array" ref="X21">SUMPRODUCT( (CapexCategory=$B21)*(X$3&gt;=CapexMonth) * (X$3&lt;=DepStop)* ((X$3-CapexMonth+1)*-DepExp) )</f>
        <v>0</v>
      </c>
      <c r="Y21" s="117" cm="1">
        <f t="array" ref="Y21">SUMPRODUCT( (CapexCategory=$B21)*(Y$3&gt;=CapexMonth) * (Y$3&lt;=DepStop)* ((Y$3-CapexMonth+1)*-DepExp) )</f>
        <v>0</v>
      </c>
      <c r="Z21" s="117" cm="1">
        <f t="array" ref="Z21">SUMPRODUCT( (CapexCategory=$B21)*(Z$3&gt;=CapexMonth) * (Z$3&lt;=DepStop)* ((Z$3-CapexMonth+1)*-DepExp) )</f>
        <v>0</v>
      </c>
      <c r="AA21" s="117" cm="1">
        <f t="array" ref="AA21">SUMPRODUCT( (CapexCategory=$B21)*(AA$3&gt;=CapexMonth) * (AA$3&lt;=DepStop)* ((AA$3-CapexMonth+1)*-DepExp) )</f>
        <v>0</v>
      </c>
      <c r="AB21" s="117" cm="1">
        <f t="array" ref="AB21">SUMPRODUCT( (CapexCategory=$B21)*(AB$3&gt;=CapexMonth) * (AB$3&lt;=DepStop)* ((AB$3-CapexMonth+1)*-DepExp) )</f>
        <v>0</v>
      </c>
      <c r="AC21" s="117" cm="1">
        <f t="array" ref="AC21">SUMPRODUCT( (CapexCategory=$B21)*(AC$3&gt;=CapexMonth) * (AC$3&lt;=DepStop)* ((AC$3-CapexMonth+1)*-DepExp) )</f>
        <v>0</v>
      </c>
      <c r="AD21" s="117" cm="1">
        <f t="array" ref="AD21">SUMPRODUCT( (CapexCategory=$B21)*(AD$3&gt;=CapexMonth) * (AD$3&lt;=DepStop)* ((AD$3-CapexMonth+1)*-DepExp) )</f>
        <v>0</v>
      </c>
      <c r="AE21" s="117" cm="1">
        <f t="array" ref="AE21">SUMPRODUCT( (CapexCategory=$B21)*(AE$3&gt;=CapexMonth) * (AE$3&lt;=DepStop)* ((AE$3-CapexMonth+1)*-DepExp) )</f>
        <v>0</v>
      </c>
      <c r="AF21" s="117" cm="1">
        <f t="array" ref="AF21">SUMPRODUCT( (CapexCategory=$B21)*(AF$3&gt;=CapexMonth) * (AF$3&lt;=DepStop)* ((AF$3-CapexMonth+1)*-DepExp) )</f>
        <v>0</v>
      </c>
      <c r="AG21" s="117" cm="1">
        <f t="array" ref="AG21">SUMPRODUCT( (CapexCategory=$B21)*(AG$3&gt;=CapexMonth) * (AG$3&lt;=DepStop)* ((AG$3-CapexMonth+1)*-DepExp) )</f>
        <v>0</v>
      </c>
      <c r="AH21" s="243" cm="1">
        <f t="array" ref="AH21">SUMPRODUCT( (CapexCategory=$B21)*(AH$3&gt;=CapexMonth) * (AH$3&lt;=DepStop)* ((AH$3-CapexMonth+1)*-DepExp) )</f>
        <v>0</v>
      </c>
      <c r="AI21" s="117" cm="1">
        <f t="array" ref="AI21">SUMPRODUCT( (CapexCategory=$B21)*(AI$3&gt;=CapexMonth) * (AI$3&lt;=DepStop)* ((AI$3-CapexMonth+1)*-DepExp) )</f>
        <v>0</v>
      </c>
      <c r="AJ21" s="117" cm="1">
        <f t="array" ref="AJ21">SUMPRODUCT( (CapexCategory=$B21)*(AJ$3&gt;=CapexMonth) * (AJ$3&lt;=DepStop)* ((AJ$3-CapexMonth+1)*-DepExp) )</f>
        <v>0</v>
      </c>
      <c r="AK21" s="117" cm="1">
        <f t="array" ref="AK21">SUMPRODUCT( (CapexCategory=$B21)*(AK$3&gt;=CapexMonth) * (AK$3&lt;=DepStop)* ((AK$3-CapexMonth+1)*-DepExp) )</f>
        <v>0</v>
      </c>
      <c r="AL21" s="117" cm="1">
        <f t="array" ref="AL21">SUMPRODUCT( (CapexCategory=$B21)*(AL$3&gt;=CapexMonth) * (AL$3&lt;=DepStop)* ((AL$3-CapexMonth+1)*-DepExp) )</f>
        <v>0</v>
      </c>
      <c r="AM21" s="117" cm="1">
        <f t="array" ref="AM21">SUMPRODUCT( (CapexCategory=$B21)*(AM$3&gt;=CapexMonth) * (AM$3&lt;=DepStop)* ((AM$3-CapexMonth+1)*-DepExp) )</f>
        <v>0</v>
      </c>
      <c r="AN21" s="117" cm="1">
        <f t="array" ref="AN21">SUMPRODUCT( (CapexCategory=$B21)*(AN$3&gt;=CapexMonth) * (AN$3&lt;=DepStop)* ((AN$3-CapexMonth+1)*-DepExp) )</f>
        <v>0</v>
      </c>
      <c r="AO21" s="117" cm="1">
        <f t="array" ref="AO21">SUMPRODUCT( (CapexCategory=$B21)*(AO$3&gt;=CapexMonth) * (AO$3&lt;=DepStop)* ((AO$3-CapexMonth+1)*-DepExp) )</f>
        <v>0</v>
      </c>
      <c r="AP21" s="117" cm="1">
        <f t="array" ref="AP21">SUMPRODUCT( (CapexCategory=$B21)*(AP$3&gt;=CapexMonth) * (AP$3&lt;=DepStop)* ((AP$3-CapexMonth+1)*-DepExp) )</f>
        <v>0</v>
      </c>
      <c r="AQ21" s="117" cm="1">
        <f t="array" ref="AQ21">SUMPRODUCT( (CapexCategory=$B21)*(AQ$3&gt;=CapexMonth) * (AQ$3&lt;=DepStop)* ((AQ$3-CapexMonth+1)*-DepExp) )</f>
        <v>0</v>
      </c>
      <c r="AR21" s="117" cm="1">
        <f t="array" ref="AR21">SUMPRODUCT( (CapexCategory=$B21)*(AR$3&gt;=CapexMonth) * (AR$3&lt;=DepStop)* ((AR$3-CapexMonth+1)*-DepExp) )</f>
        <v>0</v>
      </c>
      <c r="AS21" s="117" cm="1">
        <f t="array" ref="AS21">SUMPRODUCT( (CapexCategory=$B21)*(AS$3&gt;=CapexMonth) * (AS$3&lt;=DepStop)* ((AS$3-CapexMonth+1)*-DepExp) )</f>
        <v>0</v>
      </c>
      <c r="AT21" s="243" cm="1">
        <f t="array" ref="AT21">SUMPRODUCT( (CapexCategory=$B21)*(AT$3&gt;=CapexMonth) * (AT$3&lt;=DepStop)* ((AT$3-CapexMonth+1)*-DepExp) )</f>
        <v>0</v>
      </c>
      <c r="AU21" s="117" cm="1">
        <f t="array" ref="AU21">SUMPRODUCT( (CapexCategory=$B21)*(AU$3&gt;=CapexMonth) * (AU$3&lt;=DepStop)* ((AU$3-CapexMonth+1)*-DepExp) )</f>
        <v>0</v>
      </c>
      <c r="AV21" s="117" cm="1">
        <f t="array" ref="AV21">SUMPRODUCT( (CapexCategory=$B21)*(AV$3&gt;=CapexMonth) * (AV$3&lt;=DepStop)* ((AV$3-CapexMonth+1)*-DepExp) )</f>
        <v>0</v>
      </c>
      <c r="AW21" s="117" cm="1">
        <f t="array" ref="AW21">SUMPRODUCT( (CapexCategory=$B21)*(AW$3&gt;=CapexMonth) * (AW$3&lt;=DepStop)* ((AW$3-CapexMonth+1)*-DepExp) )</f>
        <v>0</v>
      </c>
      <c r="AX21" s="117" cm="1">
        <f t="array" ref="AX21">SUMPRODUCT( (CapexCategory=$B21)*(AX$3&gt;=CapexMonth) * (AX$3&lt;=DepStop)* ((AX$3-CapexMonth+1)*-DepExp) )</f>
        <v>0</v>
      </c>
      <c r="AY21" s="117" cm="1">
        <f t="array" ref="AY21">SUMPRODUCT( (CapexCategory=$B21)*(AY$3&gt;=CapexMonth) * (AY$3&lt;=DepStop)* ((AY$3-CapexMonth+1)*-DepExp) )</f>
        <v>0</v>
      </c>
      <c r="AZ21" s="117" cm="1">
        <f t="array" ref="AZ21">SUMPRODUCT( (CapexCategory=$B21)*(AZ$3&gt;=CapexMonth) * (AZ$3&lt;=DepStop)* ((AZ$3-CapexMonth+1)*-DepExp) )</f>
        <v>0</v>
      </c>
      <c r="BA21" s="117" cm="1">
        <f t="array" ref="BA21">SUMPRODUCT( (CapexCategory=$B21)*(BA$3&gt;=CapexMonth) * (BA$3&lt;=DepStop)* ((BA$3-CapexMonth+1)*-DepExp) )</f>
        <v>0</v>
      </c>
      <c r="BB21" s="117" cm="1">
        <f t="array" ref="BB21">SUMPRODUCT( (CapexCategory=$B21)*(BB$3&gt;=CapexMonth) * (BB$3&lt;=DepStop)* ((BB$3-CapexMonth+1)*-DepExp) )</f>
        <v>0</v>
      </c>
      <c r="BC21" s="117" cm="1">
        <f t="array" ref="BC21">SUMPRODUCT( (CapexCategory=$B21)*(BC$3&gt;=CapexMonth) * (BC$3&lt;=DepStop)* ((BC$3-CapexMonth+1)*-DepExp) )</f>
        <v>0</v>
      </c>
      <c r="BD21" s="117" cm="1">
        <f t="array" ref="BD21">SUMPRODUCT( (CapexCategory=$B21)*(BD$3&gt;=CapexMonth) * (BD$3&lt;=DepStop)* ((BD$3-CapexMonth+1)*-DepExp) )</f>
        <v>0</v>
      </c>
      <c r="BE21" s="117" cm="1">
        <f t="array" ref="BE21">SUMPRODUCT( (CapexCategory=$B21)*(BE$3&gt;=CapexMonth) * (BE$3&lt;=DepStop)* ((BE$3-CapexMonth+1)*-DepExp) )</f>
        <v>0</v>
      </c>
      <c r="BF21" s="243" cm="1">
        <f t="array" ref="BF21">SUMPRODUCT( (CapexCategory=$B21)*(BF$3&gt;=CapexMonth) * (BF$3&lt;=DepStop)* ((BF$3-CapexMonth+1)*-DepExp) )</f>
        <v>0</v>
      </c>
      <c r="BG21" s="117" cm="1">
        <f t="array" ref="BG21">SUMPRODUCT( (CapexCategory=$B21)*(BG$3&gt;=CapexMonth) * (BG$3&lt;=DepStop)* ((BG$3-CapexMonth+1)*-DepExp) )</f>
        <v>0</v>
      </c>
      <c r="BH21" s="117" cm="1">
        <f t="array" ref="BH21">SUMPRODUCT( (CapexCategory=$B21)*(BH$3&gt;=CapexMonth) * (BH$3&lt;=DepStop)* ((BH$3-CapexMonth+1)*-DepExp) )</f>
        <v>0</v>
      </c>
      <c r="BI21" s="117" cm="1">
        <f t="array" ref="BI21">SUMPRODUCT( (CapexCategory=$B21)*(BI$3&gt;=CapexMonth) * (BI$3&lt;=DepStop)* ((BI$3-CapexMonth+1)*-DepExp) )</f>
        <v>0</v>
      </c>
      <c r="BJ21" s="117" cm="1">
        <f t="array" ref="BJ21">SUMPRODUCT( (CapexCategory=$B21)*(BJ$3&gt;=CapexMonth) * (BJ$3&lt;=DepStop)* ((BJ$3-CapexMonth+1)*-DepExp) )</f>
        <v>0</v>
      </c>
      <c r="BK21" s="117" cm="1">
        <f t="array" ref="BK21">SUMPRODUCT( (CapexCategory=$B21)*(BK$3&gt;=CapexMonth) * (BK$3&lt;=DepStop)* ((BK$3-CapexMonth+1)*-DepExp) )</f>
        <v>0</v>
      </c>
      <c r="BL21" s="117" cm="1">
        <f t="array" ref="BL21">SUMPRODUCT( (CapexCategory=$B21)*(BL$3&gt;=CapexMonth) * (BL$3&lt;=DepStop)* ((BL$3-CapexMonth+1)*-DepExp) )</f>
        <v>0</v>
      </c>
      <c r="BM21" s="117" cm="1">
        <f t="array" ref="BM21">SUMPRODUCT( (CapexCategory=$B21)*(BM$3&gt;=CapexMonth) * (BM$3&lt;=DepStop)* ((BM$3-CapexMonth+1)*-DepExp) )</f>
        <v>0</v>
      </c>
      <c r="BN21" s="117" cm="1">
        <f t="array" ref="BN21">SUMPRODUCT( (CapexCategory=$B21)*(BN$3&gt;=CapexMonth) * (BN$3&lt;=DepStop)* ((BN$3-CapexMonth+1)*-DepExp) )</f>
        <v>0</v>
      </c>
      <c r="BO21" s="117" cm="1">
        <f t="array" ref="BO21">SUMPRODUCT( (CapexCategory=$B21)*(BO$3&gt;=CapexMonth) * (BO$3&lt;=DepStop)* ((BO$3-CapexMonth+1)*-DepExp) )</f>
        <v>0</v>
      </c>
      <c r="BP21" s="117" cm="1">
        <f t="array" ref="BP21">SUMPRODUCT( (CapexCategory=$B21)*(BP$3&gt;=CapexMonth) * (BP$3&lt;=DepStop)* ((BP$3-CapexMonth+1)*-DepExp) )</f>
        <v>0</v>
      </c>
      <c r="BQ21" s="117" cm="1">
        <f t="array" ref="BQ21">SUMPRODUCT( (CapexCategory=$B21)*(BQ$3&gt;=CapexMonth) * (BQ$3&lt;=DepStop)* ((BQ$3-CapexMonth+1)*-DepExp) )</f>
        <v>0</v>
      </c>
      <c r="BR21" s="243" cm="1">
        <f t="array" ref="BR21">SUMPRODUCT( (CapexCategory=$B21)*(BR$3&gt;=CapexMonth) * (BR$3&lt;=DepStop)* ((BR$3-CapexMonth+1)*-DepExp) )</f>
        <v>0</v>
      </c>
    </row>
    <row r="22" spans="1:70" s="321" customFormat="1" ht="15.6" hidden="1" x14ac:dyDescent="0.35">
      <c r="A22" s="234"/>
      <c r="B22" s="231" t="s">
        <v>56</v>
      </c>
      <c r="C22" s="185"/>
      <c r="D22" s="93"/>
      <c r="E22" s="243">
        <f t="shared" si="12"/>
        <v>0</v>
      </c>
      <c r="F22" s="243">
        <f t="shared" si="13"/>
        <v>0</v>
      </c>
      <c r="G22" s="243">
        <f t="shared" si="14"/>
        <v>0</v>
      </c>
      <c r="H22" s="243">
        <f t="shared" si="15"/>
        <v>0</v>
      </c>
      <c r="I22" s="243">
        <f t="shared" si="16"/>
        <v>0</v>
      </c>
      <c r="J22" s="238"/>
      <c r="K22" s="117" cm="1">
        <f t="array" ref="K22">SUMPRODUCT( (CapexCategory=$B22)*(K$3&gt;=CapexMonth) * (K$3&lt;=DepStop)* ((K$3-CapexMonth+1)*-DepExp) )</f>
        <v>0</v>
      </c>
      <c r="L22" s="117" cm="1">
        <f t="array" ref="L22">SUMPRODUCT( (CapexCategory=$B22)*(L$3&gt;=CapexMonth) * (L$3&lt;=DepStop)* ((L$3-CapexMonth+1)*-DepExp) )</f>
        <v>0</v>
      </c>
      <c r="M22" s="117" cm="1">
        <f t="array" ref="M22">SUMPRODUCT( (CapexCategory=$B22)*(M$3&gt;=CapexMonth) * (M$3&lt;=DepStop)* ((M$3-CapexMonth+1)*-DepExp) )</f>
        <v>0</v>
      </c>
      <c r="N22" s="117" cm="1">
        <f t="array" ref="N22">SUMPRODUCT( (CapexCategory=$B22)*(N$3&gt;=CapexMonth) * (N$3&lt;=DepStop)* ((N$3-CapexMonth+1)*-DepExp) )</f>
        <v>0</v>
      </c>
      <c r="O22" s="117" cm="1">
        <f t="array" ref="O22">SUMPRODUCT( (CapexCategory=$B22)*(O$3&gt;=CapexMonth) * (O$3&lt;=DepStop)* ((O$3-CapexMonth+1)*-DepExp) )</f>
        <v>0</v>
      </c>
      <c r="P22" s="117" cm="1">
        <f t="array" ref="P22">SUMPRODUCT( (CapexCategory=$B22)*(P$3&gt;=CapexMonth) * (P$3&lt;=DepStop)* ((P$3-CapexMonth+1)*-DepExp) )</f>
        <v>0</v>
      </c>
      <c r="Q22" s="117" cm="1">
        <f t="array" ref="Q22">SUMPRODUCT( (CapexCategory=$B22)*(Q$3&gt;=CapexMonth) * (Q$3&lt;=DepStop)* ((Q$3-CapexMonth+1)*-DepExp) )</f>
        <v>0</v>
      </c>
      <c r="R22" s="117" cm="1">
        <f t="array" ref="R22">SUMPRODUCT( (CapexCategory=$B22)*(R$3&gt;=CapexMonth) * (R$3&lt;=DepStop)* ((R$3-CapexMonth+1)*-DepExp) )</f>
        <v>-16.666666666666668</v>
      </c>
      <c r="S22" s="117" cm="1">
        <f t="array" ref="S22">SUMPRODUCT( (CapexCategory=$B22)*(S$3&gt;=CapexMonth) * (S$3&lt;=DepStop)* ((S$3-CapexMonth+1)*-DepExp) )</f>
        <v>-33.333333333333336</v>
      </c>
      <c r="T22" s="117" cm="1">
        <f t="array" ref="T22">SUMPRODUCT( (CapexCategory=$B22)*(T$3&gt;=CapexMonth) * (T$3&lt;=DepStop)* ((T$3-CapexMonth+1)*-DepExp) )</f>
        <v>-50</v>
      </c>
      <c r="U22" s="117" cm="1">
        <f t="array" ref="U22">SUMPRODUCT( (CapexCategory=$B22)*(U$3&gt;=CapexMonth) * (U$3&lt;=DepStop)* ((U$3-CapexMonth+1)*-DepExp) )</f>
        <v>0</v>
      </c>
      <c r="V22" s="243" cm="1">
        <f t="array" ref="V22">SUMPRODUCT( (CapexCategory=$B22)*(V$3&gt;=CapexMonth) * (V$3&lt;=DepStop)* ((V$3-CapexMonth+1)*-DepExp) )</f>
        <v>0</v>
      </c>
      <c r="W22" s="117" cm="1">
        <f t="array" ref="W22">SUMPRODUCT( (CapexCategory=$B22)*(W$3&gt;=CapexMonth) * (W$3&lt;=DepStop)* ((W$3-CapexMonth+1)*-DepExp) )</f>
        <v>0</v>
      </c>
      <c r="X22" s="117" cm="1">
        <f t="array" ref="X22">SUMPRODUCT( (CapexCategory=$B22)*(X$3&gt;=CapexMonth) * (X$3&lt;=DepStop)* ((X$3-CapexMonth+1)*-DepExp) )</f>
        <v>0</v>
      </c>
      <c r="Y22" s="117" cm="1">
        <f t="array" ref="Y22">SUMPRODUCT( (CapexCategory=$B22)*(Y$3&gt;=CapexMonth) * (Y$3&lt;=DepStop)* ((Y$3-CapexMonth+1)*-DepExp) )</f>
        <v>0</v>
      </c>
      <c r="Z22" s="117" cm="1">
        <f t="array" ref="Z22">SUMPRODUCT( (CapexCategory=$B22)*(Z$3&gt;=CapexMonth) * (Z$3&lt;=DepStop)* ((Z$3-CapexMonth+1)*-DepExp) )</f>
        <v>0</v>
      </c>
      <c r="AA22" s="117" cm="1">
        <f t="array" ref="AA22">SUMPRODUCT( (CapexCategory=$B22)*(AA$3&gt;=CapexMonth) * (AA$3&lt;=DepStop)* ((AA$3-CapexMonth+1)*-DepExp) )</f>
        <v>0</v>
      </c>
      <c r="AB22" s="117" cm="1">
        <f t="array" ref="AB22">SUMPRODUCT( (CapexCategory=$B22)*(AB$3&gt;=CapexMonth) * (AB$3&lt;=DepStop)* ((AB$3-CapexMonth+1)*-DepExp) )</f>
        <v>0</v>
      </c>
      <c r="AC22" s="117" cm="1">
        <f t="array" ref="AC22">SUMPRODUCT( (CapexCategory=$B22)*(AC$3&gt;=CapexMonth) * (AC$3&lt;=DepStop)* ((AC$3-CapexMonth+1)*-DepExp) )</f>
        <v>0</v>
      </c>
      <c r="AD22" s="117" cm="1">
        <f t="array" ref="AD22">SUMPRODUCT( (CapexCategory=$B22)*(AD$3&gt;=CapexMonth) * (AD$3&lt;=DepStop)* ((AD$3-CapexMonth+1)*-DepExp) )</f>
        <v>0</v>
      </c>
      <c r="AE22" s="117" cm="1">
        <f t="array" ref="AE22">SUMPRODUCT( (CapexCategory=$B22)*(AE$3&gt;=CapexMonth) * (AE$3&lt;=DepStop)* ((AE$3-CapexMonth+1)*-DepExp) )</f>
        <v>0</v>
      </c>
      <c r="AF22" s="117" cm="1">
        <f t="array" ref="AF22">SUMPRODUCT( (CapexCategory=$B22)*(AF$3&gt;=CapexMonth) * (AF$3&lt;=DepStop)* ((AF$3-CapexMonth+1)*-DepExp) )</f>
        <v>0</v>
      </c>
      <c r="AG22" s="117" cm="1">
        <f t="array" ref="AG22">SUMPRODUCT( (CapexCategory=$B22)*(AG$3&gt;=CapexMonth) * (AG$3&lt;=DepStop)* ((AG$3-CapexMonth+1)*-DepExp) )</f>
        <v>0</v>
      </c>
      <c r="AH22" s="243" cm="1">
        <f t="array" ref="AH22">SUMPRODUCT( (CapexCategory=$B22)*(AH$3&gt;=CapexMonth) * (AH$3&lt;=DepStop)* ((AH$3-CapexMonth+1)*-DepExp) )</f>
        <v>0</v>
      </c>
      <c r="AI22" s="117" cm="1">
        <f t="array" ref="AI22">SUMPRODUCT( (CapexCategory=$B22)*(AI$3&gt;=CapexMonth) * (AI$3&lt;=DepStop)* ((AI$3-CapexMonth+1)*-DepExp) )</f>
        <v>0</v>
      </c>
      <c r="AJ22" s="117" cm="1">
        <f t="array" ref="AJ22">SUMPRODUCT( (CapexCategory=$B22)*(AJ$3&gt;=CapexMonth) * (AJ$3&lt;=DepStop)* ((AJ$3-CapexMonth+1)*-DepExp) )</f>
        <v>0</v>
      </c>
      <c r="AK22" s="117" cm="1">
        <f t="array" ref="AK22">SUMPRODUCT( (CapexCategory=$B22)*(AK$3&gt;=CapexMonth) * (AK$3&lt;=DepStop)* ((AK$3-CapexMonth+1)*-DepExp) )</f>
        <v>0</v>
      </c>
      <c r="AL22" s="117" cm="1">
        <f t="array" ref="AL22">SUMPRODUCT( (CapexCategory=$B22)*(AL$3&gt;=CapexMonth) * (AL$3&lt;=DepStop)* ((AL$3-CapexMonth+1)*-DepExp) )</f>
        <v>0</v>
      </c>
      <c r="AM22" s="117" cm="1">
        <f t="array" ref="AM22">SUMPRODUCT( (CapexCategory=$B22)*(AM$3&gt;=CapexMonth) * (AM$3&lt;=DepStop)* ((AM$3-CapexMonth+1)*-DepExp) )</f>
        <v>0</v>
      </c>
      <c r="AN22" s="117" cm="1">
        <f t="array" ref="AN22">SUMPRODUCT( (CapexCategory=$B22)*(AN$3&gt;=CapexMonth) * (AN$3&lt;=DepStop)* ((AN$3-CapexMonth+1)*-DepExp) )</f>
        <v>0</v>
      </c>
      <c r="AO22" s="117" cm="1">
        <f t="array" ref="AO22">SUMPRODUCT( (CapexCategory=$B22)*(AO$3&gt;=CapexMonth) * (AO$3&lt;=DepStop)* ((AO$3-CapexMonth+1)*-DepExp) )</f>
        <v>0</v>
      </c>
      <c r="AP22" s="117" cm="1">
        <f t="array" ref="AP22">SUMPRODUCT( (CapexCategory=$B22)*(AP$3&gt;=CapexMonth) * (AP$3&lt;=DepStop)* ((AP$3-CapexMonth+1)*-DepExp) )</f>
        <v>0</v>
      </c>
      <c r="AQ22" s="117" cm="1">
        <f t="array" ref="AQ22">SUMPRODUCT( (CapexCategory=$B22)*(AQ$3&gt;=CapexMonth) * (AQ$3&lt;=DepStop)* ((AQ$3-CapexMonth+1)*-DepExp) )</f>
        <v>0</v>
      </c>
      <c r="AR22" s="117" cm="1">
        <f t="array" ref="AR22">SUMPRODUCT( (CapexCategory=$B22)*(AR$3&gt;=CapexMonth) * (AR$3&lt;=DepStop)* ((AR$3-CapexMonth+1)*-DepExp) )</f>
        <v>0</v>
      </c>
      <c r="AS22" s="117" cm="1">
        <f t="array" ref="AS22">SUMPRODUCT( (CapexCategory=$B22)*(AS$3&gt;=CapexMonth) * (AS$3&lt;=DepStop)* ((AS$3-CapexMonth+1)*-DepExp) )</f>
        <v>0</v>
      </c>
      <c r="AT22" s="243" cm="1">
        <f t="array" ref="AT22">SUMPRODUCT( (CapexCategory=$B22)*(AT$3&gt;=CapexMonth) * (AT$3&lt;=DepStop)* ((AT$3-CapexMonth+1)*-DepExp) )</f>
        <v>0</v>
      </c>
      <c r="AU22" s="117" cm="1">
        <f t="array" ref="AU22">SUMPRODUCT( (CapexCategory=$B22)*(AU$3&gt;=CapexMonth) * (AU$3&lt;=DepStop)* ((AU$3-CapexMonth+1)*-DepExp) )</f>
        <v>0</v>
      </c>
      <c r="AV22" s="117" cm="1">
        <f t="array" ref="AV22">SUMPRODUCT( (CapexCategory=$B22)*(AV$3&gt;=CapexMonth) * (AV$3&lt;=DepStop)* ((AV$3-CapexMonth+1)*-DepExp) )</f>
        <v>0</v>
      </c>
      <c r="AW22" s="117" cm="1">
        <f t="array" ref="AW22">SUMPRODUCT( (CapexCategory=$B22)*(AW$3&gt;=CapexMonth) * (AW$3&lt;=DepStop)* ((AW$3-CapexMonth+1)*-DepExp) )</f>
        <v>0</v>
      </c>
      <c r="AX22" s="117" cm="1">
        <f t="array" ref="AX22">SUMPRODUCT( (CapexCategory=$B22)*(AX$3&gt;=CapexMonth) * (AX$3&lt;=DepStop)* ((AX$3-CapexMonth+1)*-DepExp) )</f>
        <v>0</v>
      </c>
      <c r="AY22" s="117" cm="1">
        <f t="array" ref="AY22">SUMPRODUCT( (CapexCategory=$B22)*(AY$3&gt;=CapexMonth) * (AY$3&lt;=DepStop)* ((AY$3-CapexMonth+1)*-DepExp) )</f>
        <v>0</v>
      </c>
      <c r="AZ22" s="117" cm="1">
        <f t="array" ref="AZ22">SUMPRODUCT( (CapexCategory=$B22)*(AZ$3&gt;=CapexMonth) * (AZ$3&lt;=DepStop)* ((AZ$3-CapexMonth+1)*-DepExp) )</f>
        <v>0</v>
      </c>
      <c r="BA22" s="117" cm="1">
        <f t="array" ref="BA22">SUMPRODUCT( (CapexCategory=$B22)*(BA$3&gt;=CapexMonth) * (BA$3&lt;=DepStop)* ((BA$3-CapexMonth+1)*-DepExp) )</f>
        <v>0</v>
      </c>
      <c r="BB22" s="117" cm="1">
        <f t="array" ref="BB22">SUMPRODUCT( (CapexCategory=$B22)*(BB$3&gt;=CapexMonth) * (BB$3&lt;=DepStop)* ((BB$3-CapexMonth+1)*-DepExp) )</f>
        <v>0</v>
      </c>
      <c r="BC22" s="117" cm="1">
        <f t="array" ref="BC22">SUMPRODUCT( (CapexCategory=$B22)*(BC$3&gt;=CapexMonth) * (BC$3&lt;=DepStop)* ((BC$3-CapexMonth+1)*-DepExp) )</f>
        <v>0</v>
      </c>
      <c r="BD22" s="117" cm="1">
        <f t="array" ref="BD22">SUMPRODUCT( (CapexCategory=$B22)*(BD$3&gt;=CapexMonth) * (BD$3&lt;=DepStop)* ((BD$3-CapexMonth+1)*-DepExp) )</f>
        <v>0</v>
      </c>
      <c r="BE22" s="117" cm="1">
        <f t="array" ref="BE22">SUMPRODUCT( (CapexCategory=$B22)*(BE$3&gt;=CapexMonth) * (BE$3&lt;=DepStop)* ((BE$3-CapexMonth+1)*-DepExp) )</f>
        <v>0</v>
      </c>
      <c r="BF22" s="243" cm="1">
        <f t="array" ref="BF22">SUMPRODUCT( (CapexCategory=$B22)*(BF$3&gt;=CapexMonth) * (BF$3&lt;=DepStop)* ((BF$3-CapexMonth+1)*-DepExp) )</f>
        <v>0</v>
      </c>
      <c r="BG22" s="117" cm="1">
        <f t="array" ref="BG22">SUMPRODUCT( (CapexCategory=$B22)*(BG$3&gt;=CapexMonth) * (BG$3&lt;=DepStop)* ((BG$3-CapexMonth+1)*-DepExp) )</f>
        <v>0</v>
      </c>
      <c r="BH22" s="117" cm="1">
        <f t="array" ref="BH22">SUMPRODUCT( (CapexCategory=$B22)*(BH$3&gt;=CapexMonth) * (BH$3&lt;=DepStop)* ((BH$3-CapexMonth+1)*-DepExp) )</f>
        <v>0</v>
      </c>
      <c r="BI22" s="117" cm="1">
        <f t="array" ref="BI22">SUMPRODUCT( (CapexCategory=$B22)*(BI$3&gt;=CapexMonth) * (BI$3&lt;=DepStop)* ((BI$3-CapexMonth+1)*-DepExp) )</f>
        <v>0</v>
      </c>
      <c r="BJ22" s="117" cm="1">
        <f t="array" ref="BJ22">SUMPRODUCT( (CapexCategory=$B22)*(BJ$3&gt;=CapexMonth) * (BJ$3&lt;=DepStop)* ((BJ$3-CapexMonth+1)*-DepExp) )</f>
        <v>0</v>
      </c>
      <c r="BK22" s="117" cm="1">
        <f t="array" ref="BK22">SUMPRODUCT( (CapexCategory=$B22)*(BK$3&gt;=CapexMonth) * (BK$3&lt;=DepStop)* ((BK$3-CapexMonth+1)*-DepExp) )</f>
        <v>0</v>
      </c>
      <c r="BL22" s="117" cm="1">
        <f t="array" ref="BL22">SUMPRODUCT( (CapexCategory=$B22)*(BL$3&gt;=CapexMonth) * (BL$3&lt;=DepStop)* ((BL$3-CapexMonth+1)*-DepExp) )</f>
        <v>0</v>
      </c>
      <c r="BM22" s="117" cm="1">
        <f t="array" ref="BM22">SUMPRODUCT( (CapexCategory=$B22)*(BM$3&gt;=CapexMonth) * (BM$3&lt;=DepStop)* ((BM$3-CapexMonth+1)*-DepExp) )</f>
        <v>0</v>
      </c>
      <c r="BN22" s="117" cm="1">
        <f t="array" ref="BN22">SUMPRODUCT( (CapexCategory=$B22)*(BN$3&gt;=CapexMonth) * (BN$3&lt;=DepStop)* ((BN$3-CapexMonth+1)*-DepExp) )</f>
        <v>0</v>
      </c>
      <c r="BO22" s="117" cm="1">
        <f t="array" ref="BO22">SUMPRODUCT( (CapexCategory=$B22)*(BO$3&gt;=CapexMonth) * (BO$3&lt;=DepStop)* ((BO$3-CapexMonth+1)*-DepExp) )</f>
        <v>0</v>
      </c>
      <c r="BP22" s="117" cm="1">
        <f t="array" ref="BP22">SUMPRODUCT( (CapexCategory=$B22)*(BP$3&gt;=CapexMonth) * (BP$3&lt;=DepStop)* ((BP$3-CapexMonth+1)*-DepExp) )</f>
        <v>0</v>
      </c>
      <c r="BQ22" s="117" cm="1">
        <f t="array" ref="BQ22">SUMPRODUCT( (CapexCategory=$B22)*(BQ$3&gt;=CapexMonth) * (BQ$3&lt;=DepStop)* ((BQ$3-CapexMonth+1)*-DepExp) )</f>
        <v>0</v>
      </c>
      <c r="BR22" s="243" cm="1">
        <f t="array" ref="BR22">SUMPRODUCT( (CapexCategory=$B22)*(BR$3&gt;=CapexMonth) * (BR$3&lt;=DepStop)* ((BR$3-CapexMonth+1)*-DepExp) )</f>
        <v>0</v>
      </c>
    </row>
    <row r="23" spans="1:70" s="321" customFormat="1" ht="15.6" hidden="1" x14ac:dyDescent="0.35">
      <c r="A23" s="234"/>
      <c r="B23" s="231" t="s">
        <v>60</v>
      </c>
      <c r="C23" s="185"/>
      <c r="D23" s="94"/>
      <c r="E23" s="243">
        <f t="shared" si="12"/>
        <v>-50</v>
      </c>
      <c r="F23" s="243">
        <f t="shared" si="13"/>
        <v>0</v>
      </c>
      <c r="G23" s="243">
        <f t="shared" si="14"/>
        <v>0</v>
      </c>
      <c r="H23" s="243">
        <f t="shared" si="15"/>
        <v>0</v>
      </c>
      <c r="I23" s="243">
        <f t="shared" si="16"/>
        <v>0</v>
      </c>
      <c r="J23" s="238"/>
      <c r="K23" s="117" cm="1">
        <f t="array" ref="K23">SUMPRODUCT( (CapexCategory=$B23)*(K$3&gt;=CapexMonth) * (K$3&lt;=DepStop)* ((K$3-CapexMonth+1)*-DepExp) )</f>
        <v>0</v>
      </c>
      <c r="L23" s="117" cm="1">
        <f t="array" ref="L23">SUMPRODUCT( (CapexCategory=$B23)*(L$3&gt;=CapexMonth) * (L$3&lt;=DepStop)* ((L$3-CapexMonth+1)*-DepExp) )</f>
        <v>0</v>
      </c>
      <c r="M23" s="117" cm="1">
        <f t="array" ref="M23">SUMPRODUCT( (CapexCategory=$B23)*(M$3&gt;=CapexMonth) * (M$3&lt;=DepStop)* ((M$3-CapexMonth+1)*-DepExp) )</f>
        <v>0</v>
      </c>
      <c r="N23" s="117" cm="1">
        <f t="array" ref="N23">SUMPRODUCT( (CapexCategory=$B23)*(N$3&gt;=CapexMonth) * (N$3&lt;=DepStop)* ((N$3-CapexMonth+1)*-DepExp) )</f>
        <v>0</v>
      </c>
      <c r="O23" s="117" cm="1">
        <f t="array" ref="O23">SUMPRODUCT( (CapexCategory=$B23)*(O$3&gt;=CapexMonth) * (O$3&lt;=DepStop)* ((O$3-CapexMonth+1)*-DepExp) )</f>
        <v>0</v>
      </c>
      <c r="P23" s="117" cm="1">
        <f t="array" ref="P23">SUMPRODUCT( (CapexCategory=$B23)*(P$3&gt;=CapexMonth) * (P$3&lt;=DepStop)* ((P$3-CapexMonth+1)*-DepExp) )</f>
        <v>-7.1428571428571432</v>
      </c>
      <c r="Q23" s="117" cm="1">
        <f t="array" ref="Q23">SUMPRODUCT( (CapexCategory=$B23)*(Q$3&gt;=CapexMonth) * (Q$3&lt;=DepStop)* ((Q$3-CapexMonth+1)*-DepExp) )</f>
        <v>-14.285714285714286</v>
      </c>
      <c r="R23" s="117" cm="1">
        <f t="array" ref="R23">SUMPRODUCT( (CapexCategory=$B23)*(R$3&gt;=CapexMonth) * (R$3&lt;=DepStop)* ((R$3-CapexMonth+1)*-DepExp) )</f>
        <v>-21.428571428571431</v>
      </c>
      <c r="S23" s="117" cm="1">
        <f t="array" ref="S23">SUMPRODUCT( (CapexCategory=$B23)*(S$3&gt;=CapexMonth) * (S$3&lt;=DepStop)* ((S$3-CapexMonth+1)*-DepExp) )</f>
        <v>-28.571428571428573</v>
      </c>
      <c r="T23" s="117" cm="1">
        <f t="array" ref="T23">SUMPRODUCT( (CapexCategory=$B23)*(T$3&gt;=CapexMonth) * (T$3&lt;=DepStop)* ((T$3-CapexMonth+1)*-DepExp) )</f>
        <v>-35.714285714285715</v>
      </c>
      <c r="U23" s="117" cm="1">
        <f t="array" ref="U23">SUMPRODUCT( (CapexCategory=$B23)*(U$3&gt;=CapexMonth) * (U$3&lt;=DepStop)* ((U$3-CapexMonth+1)*-DepExp) )</f>
        <v>-42.857142857142861</v>
      </c>
      <c r="V23" s="243" cm="1">
        <f t="array" ref="V23">SUMPRODUCT( (CapexCategory=$B23)*(V$3&gt;=CapexMonth) * (V$3&lt;=DepStop)* ((V$3-CapexMonth+1)*-DepExp) )</f>
        <v>-50</v>
      </c>
      <c r="W23" s="117" cm="1">
        <f t="array" ref="W23">SUMPRODUCT( (CapexCategory=$B23)*(W$3&gt;=CapexMonth) * (W$3&lt;=DepStop)* ((W$3-CapexMonth+1)*-DepExp) )</f>
        <v>0</v>
      </c>
      <c r="X23" s="117" cm="1">
        <f t="array" ref="X23">SUMPRODUCT( (CapexCategory=$B23)*(X$3&gt;=CapexMonth) * (X$3&lt;=DepStop)* ((X$3-CapexMonth+1)*-DepExp) )</f>
        <v>0</v>
      </c>
      <c r="Y23" s="117" cm="1">
        <f t="array" ref="Y23">SUMPRODUCT( (CapexCategory=$B23)*(Y$3&gt;=CapexMonth) * (Y$3&lt;=DepStop)* ((Y$3-CapexMonth+1)*-DepExp) )</f>
        <v>0</v>
      </c>
      <c r="Z23" s="117" cm="1">
        <f t="array" ref="Z23">SUMPRODUCT( (CapexCategory=$B23)*(Z$3&gt;=CapexMonth) * (Z$3&lt;=DepStop)* ((Z$3-CapexMonth+1)*-DepExp) )</f>
        <v>0</v>
      </c>
      <c r="AA23" s="117" cm="1">
        <f t="array" ref="AA23">SUMPRODUCT( (CapexCategory=$B23)*(AA$3&gt;=CapexMonth) * (AA$3&lt;=DepStop)* ((AA$3-CapexMonth+1)*-DepExp) )</f>
        <v>0</v>
      </c>
      <c r="AB23" s="117" cm="1">
        <f t="array" ref="AB23">SUMPRODUCT( (CapexCategory=$B23)*(AB$3&gt;=CapexMonth) * (AB$3&lt;=DepStop)* ((AB$3-CapexMonth+1)*-DepExp) )</f>
        <v>0</v>
      </c>
      <c r="AC23" s="117" cm="1">
        <f t="array" ref="AC23">SUMPRODUCT( (CapexCategory=$B23)*(AC$3&gt;=CapexMonth) * (AC$3&lt;=DepStop)* ((AC$3-CapexMonth+1)*-DepExp) )</f>
        <v>0</v>
      </c>
      <c r="AD23" s="117" cm="1">
        <f t="array" ref="AD23">SUMPRODUCT( (CapexCategory=$B23)*(AD$3&gt;=CapexMonth) * (AD$3&lt;=DepStop)* ((AD$3-CapexMonth+1)*-DepExp) )</f>
        <v>0</v>
      </c>
      <c r="AE23" s="117" cm="1">
        <f t="array" ref="AE23">SUMPRODUCT( (CapexCategory=$B23)*(AE$3&gt;=CapexMonth) * (AE$3&lt;=DepStop)* ((AE$3-CapexMonth+1)*-DepExp) )</f>
        <v>0</v>
      </c>
      <c r="AF23" s="117" cm="1">
        <f t="array" ref="AF23">SUMPRODUCT( (CapexCategory=$B23)*(AF$3&gt;=CapexMonth) * (AF$3&lt;=DepStop)* ((AF$3-CapexMonth+1)*-DepExp) )</f>
        <v>0</v>
      </c>
      <c r="AG23" s="117" cm="1">
        <f t="array" ref="AG23">SUMPRODUCT( (CapexCategory=$B23)*(AG$3&gt;=CapexMonth) * (AG$3&lt;=DepStop)* ((AG$3-CapexMonth+1)*-DepExp) )</f>
        <v>0</v>
      </c>
      <c r="AH23" s="243" cm="1">
        <f t="array" ref="AH23">SUMPRODUCT( (CapexCategory=$B23)*(AH$3&gt;=CapexMonth) * (AH$3&lt;=DepStop)* ((AH$3-CapexMonth+1)*-DepExp) )</f>
        <v>0</v>
      </c>
      <c r="AI23" s="117" cm="1">
        <f t="array" ref="AI23">SUMPRODUCT( (CapexCategory=$B23)*(AI$3&gt;=CapexMonth) * (AI$3&lt;=DepStop)* ((AI$3-CapexMonth+1)*-DepExp) )</f>
        <v>0</v>
      </c>
      <c r="AJ23" s="117" cm="1">
        <f t="array" ref="AJ23">SUMPRODUCT( (CapexCategory=$B23)*(AJ$3&gt;=CapexMonth) * (AJ$3&lt;=DepStop)* ((AJ$3-CapexMonth+1)*-DepExp) )</f>
        <v>0</v>
      </c>
      <c r="AK23" s="117" cm="1">
        <f t="array" ref="AK23">SUMPRODUCT( (CapexCategory=$B23)*(AK$3&gt;=CapexMonth) * (AK$3&lt;=DepStop)* ((AK$3-CapexMonth+1)*-DepExp) )</f>
        <v>0</v>
      </c>
      <c r="AL23" s="117" cm="1">
        <f t="array" ref="AL23">SUMPRODUCT( (CapexCategory=$B23)*(AL$3&gt;=CapexMonth) * (AL$3&lt;=DepStop)* ((AL$3-CapexMonth+1)*-DepExp) )</f>
        <v>0</v>
      </c>
      <c r="AM23" s="117" cm="1">
        <f t="array" ref="AM23">SUMPRODUCT( (CapexCategory=$B23)*(AM$3&gt;=CapexMonth) * (AM$3&lt;=DepStop)* ((AM$3-CapexMonth+1)*-DepExp) )</f>
        <v>0</v>
      </c>
      <c r="AN23" s="117" cm="1">
        <f t="array" ref="AN23">SUMPRODUCT( (CapexCategory=$B23)*(AN$3&gt;=CapexMonth) * (AN$3&lt;=DepStop)* ((AN$3-CapexMonth+1)*-DepExp) )</f>
        <v>0</v>
      </c>
      <c r="AO23" s="117" cm="1">
        <f t="array" ref="AO23">SUMPRODUCT( (CapexCategory=$B23)*(AO$3&gt;=CapexMonth) * (AO$3&lt;=DepStop)* ((AO$3-CapexMonth+1)*-DepExp) )</f>
        <v>0</v>
      </c>
      <c r="AP23" s="117" cm="1">
        <f t="array" ref="AP23">SUMPRODUCT( (CapexCategory=$B23)*(AP$3&gt;=CapexMonth) * (AP$3&lt;=DepStop)* ((AP$3-CapexMonth+1)*-DepExp) )</f>
        <v>0</v>
      </c>
      <c r="AQ23" s="117" cm="1">
        <f t="array" ref="AQ23">SUMPRODUCT( (CapexCategory=$B23)*(AQ$3&gt;=CapexMonth) * (AQ$3&lt;=DepStop)* ((AQ$3-CapexMonth+1)*-DepExp) )</f>
        <v>0</v>
      </c>
      <c r="AR23" s="117" cm="1">
        <f t="array" ref="AR23">SUMPRODUCT( (CapexCategory=$B23)*(AR$3&gt;=CapexMonth) * (AR$3&lt;=DepStop)* ((AR$3-CapexMonth+1)*-DepExp) )</f>
        <v>0</v>
      </c>
      <c r="AS23" s="117" cm="1">
        <f t="array" ref="AS23">SUMPRODUCT( (CapexCategory=$B23)*(AS$3&gt;=CapexMonth) * (AS$3&lt;=DepStop)* ((AS$3-CapexMonth+1)*-DepExp) )</f>
        <v>0</v>
      </c>
      <c r="AT23" s="243" cm="1">
        <f t="array" ref="AT23">SUMPRODUCT( (CapexCategory=$B23)*(AT$3&gt;=CapexMonth) * (AT$3&lt;=DepStop)* ((AT$3-CapexMonth+1)*-DepExp) )</f>
        <v>0</v>
      </c>
      <c r="AU23" s="117" cm="1">
        <f t="array" ref="AU23">SUMPRODUCT( (CapexCategory=$B23)*(AU$3&gt;=CapexMonth) * (AU$3&lt;=DepStop)* ((AU$3-CapexMonth+1)*-DepExp) )</f>
        <v>0</v>
      </c>
      <c r="AV23" s="117" cm="1">
        <f t="array" ref="AV23">SUMPRODUCT( (CapexCategory=$B23)*(AV$3&gt;=CapexMonth) * (AV$3&lt;=DepStop)* ((AV$3-CapexMonth+1)*-DepExp) )</f>
        <v>0</v>
      </c>
      <c r="AW23" s="117" cm="1">
        <f t="array" ref="AW23">SUMPRODUCT( (CapexCategory=$B23)*(AW$3&gt;=CapexMonth) * (AW$3&lt;=DepStop)* ((AW$3-CapexMonth+1)*-DepExp) )</f>
        <v>0</v>
      </c>
      <c r="AX23" s="117" cm="1">
        <f t="array" ref="AX23">SUMPRODUCT( (CapexCategory=$B23)*(AX$3&gt;=CapexMonth) * (AX$3&lt;=DepStop)* ((AX$3-CapexMonth+1)*-DepExp) )</f>
        <v>0</v>
      </c>
      <c r="AY23" s="117" cm="1">
        <f t="array" ref="AY23">SUMPRODUCT( (CapexCategory=$B23)*(AY$3&gt;=CapexMonth) * (AY$3&lt;=DepStop)* ((AY$3-CapexMonth+1)*-DepExp) )</f>
        <v>0</v>
      </c>
      <c r="AZ23" s="117" cm="1">
        <f t="array" ref="AZ23">SUMPRODUCT( (CapexCategory=$B23)*(AZ$3&gt;=CapexMonth) * (AZ$3&lt;=DepStop)* ((AZ$3-CapexMonth+1)*-DepExp) )</f>
        <v>0</v>
      </c>
      <c r="BA23" s="117" cm="1">
        <f t="array" ref="BA23">SUMPRODUCT( (CapexCategory=$B23)*(BA$3&gt;=CapexMonth) * (BA$3&lt;=DepStop)* ((BA$3-CapexMonth+1)*-DepExp) )</f>
        <v>0</v>
      </c>
      <c r="BB23" s="117" cm="1">
        <f t="array" ref="BB23">SUMPRODUCT( (CapexCategory=$B23)*(BB$3&gt;=CapexMonth) * (BB$3&lt;=DepStop)* ((BB$3-CapexMonth+1)*-DepExp) )</f>
        <v>0</v>
      </c>
      <c r="BC23" s="117" cm="1">
        <f t="array" ref="BC23">SUMPRODUCT( (CapexCategory=$B23)*(BC$3&gt;=CapexMonth) * (BC$3&lt;=DepStop)* ((BC$3-CapexMonth+1)*-DepExp) )</f>
        <v>0</v>
      </c>
      <c r="BD23" s="117" cm="1">
        <f t="array" ref="BD23">SUMPRODUCT( (CapexCategory=$B23)*(BD$3&gt;=CapexMonth) * (BD$3&lt;=DepStop)* ((BD$3-CapexMonth+1)*-DepExp) )</f>
        <v>0</v>
      </c>
      <c r="BE23" s="117" cm="1">
        <f t="array" ref="BE23">SUMPRODUCT( (CapexCategory=$B23)*(BE$3&gt;=CapexMonth) * (BE$3&lt;=DepStop)* ((BE$3-CapexMonth+1)*-DepExp) )</f>
        <v>0</v>
      </c>
      <c r="BF23" s="243" cm="1">
        <f t="array" ref="BF23">SUMPRODUCT( (CapexCategory=$B23)*(BF$3&gt;=CapexMonth) * (BF$3&lt;=DepStop)* ((BF$3-CapexMonth+1)*-DepExp) )</f>
        <v>0</v>
      </c>
      <c r="BG23" s="117" cm="1">
        <f t="array" ref="BG23">SUMPRODUCT( (CapexCategory=$B23)*(BG$3&gt;=CapexMonth) * (BG$3&lt;=DepStop)* ((BG$3-CapexMonth+1)*-DepExp) )</f>
        <v>0</v>
      </c>
      <c r="BH23" s="117" cm="1">
        <f t="array" ref="BH23">SUMPRODUCT( (CapexCategory=$B23)*(BH$3&gt;=CapexMonth) * (BH$3&lt;=DepStop)* ((BH$3-CapexMonth+1)*-DepExp) )</f>
        <v>0</v>
      </c>
      <c r="BI23" s="117" cm="1">
        <f t="array" ref="BI23">SUMPRODUCT( (CapexCategory=$B23)*(BI$3&gt;=CapexMonth) * (BI$3&lt;=DepStop)* ((BI$3-CapexMonth+1)*-DepExp) )</f>
        <v>0</v>
      </c>
      <c r="BJ23" s="117" cm="1">
        <f t="array" ref="BJ23">SUMPRODUCT( (CapexCategory=$B23)*(BJ$3&gt;=CapexMonth) * (BJ$3&lt;=DepStop)* ((BJ$3-CapexMonth+1)*-DepExp) )</f>
        <v>0</v>
      </c>
      <c r="BK23" s="117" cm="1">
        <f t="array" ref="BK23">SUMPRODUCT( (CapexCategory=$B23)*(BK$3&gt;=CapexMonth) * (BK$3&lt;=DepStop)* ((BK$3-CapexMonth+1)*-DepExp) )</f>
        <v>0</v>
      </c>
      <c r="BL23" s="117" cm="1">
        <f t="array" ref="BL23">SUMPRODUCT( (CapexCategory=$B23)*(BL$3&gt;=CapexMonth) * (BL$3&lt;=DepStop)* ((BL$3-CapexMonth+1)*-DepExp) )</f>
        <v>0</v>
      </c>
      <c r="BM23" s="117" cm="1">
        <f t="array" ref="BM23">SUMPRODUCT( (CapexCategory=$B23)*(BM$3&gt;=CapexMonth) * (BM$3&lt;=DepStop)* ((BM$3-CapexMonth+1)*-DepExp) )</f>
        <v>0</v>
      </c>
      <c r="BN23" s="117" cm="1">
        <f t="array" ref="BN23">SUMPRODUCT( (CapexCategory=$B23)*(BN$3&gt;=CapexMonth) * (BN$3&lt;=DepStop)* ((BN$3-CapexMonth+1)*-DepExp) )</f>
        <v>0</v>
      </c>
      <c r="BO23" s="117" cm="1">
        <f t="array" ref="BO23">SUMPRODUCT( (CapexCategory=$B23)*(BO$3&gt;=CapexMonth) * (BO$3&lt;=DepStop)* ((BO$3-CapexMonth+1)*-DepExp) )</f>
        <v>0</v>
      </c>
      <c r="BP23" s="117" cm="1">
        <f t="array" ref="BP23">SUMPRODUCT( (CapexCategory=$B23)*(BP$3&gt;=CapexMonth) * (BP$3&lt;=DepStop)* ((BP$3-CapexMonth+1)*-DepExp) )</f>
        <v>0</v>
      </c>
      <c r="BQ23" s="117" cm="1">
        <f t="array" ref="BQ23">SUMPRODUCT( (CapexCategory=$B23)*(BQ$3&gt;=CapexMonth) * (BQ$3&lt;=DepStop)* ((BQ$3-CapexMonth+1)*-DepExp) )</f>
        <v>0</v>
      </c>
      <c r="BR23" s="243" cm="1">
        <f t="array" ref="BR23">SUMPRODUCT( (CapexCategory=$B23)*(BR$3&gt;=CapexMonth) * (BR$3&lt;=DepStop)* ((BR$3-CapexMonth+1)*-DepExp) )</f>
        <v>0</v>
      </c>
    </row>
    <row r="24" spans="1:70" s="321" customFormat="1" ht="15.6" hidden="1" x14ac:dyDescent="0.35">
      <c r="A24" s="234"/>
      <c r="B24" s="231" t="s">
        <v>65</v>
      </c>
      <c r="C24" s="185"/>
      <c r="D24" s="93"/>
      <c r="E24" s="243">
        <f t="shared" si="12"/>
        <v>0</v>
      </c>
      <c r="F24" s="243">
        <f t="shared" si="13"/>
        <v>0</v>
      </c>
      <c r="G24" s="243">
        <f t="shared" si="14"/>
        <v>0</v>
      </c>
      <c r="H24" s="243">
        <f t="shared" si="15"/>
        <v>0</v>
      </c>
      <c r="I24" s="243">
        <f t="shared" si="16"/>
        <v>0</v>
      </c>
      <c r="J24" s="238"/>
      <c r="K24" s="117" cm="1">
        <f t="array" ref="K24">SUMPRODUCT( (CapexCategory=$B24)*(K$3&gt;=CapexMonth) * (K$3&lt;=DepStop)* ((K$3-CapexMonth+1)*-DepExp) )</f>
        <v>0</v>
      </c>
      <c r="L24" s="117" cm="1">
        <f t="array" ref="L24">SUMPRODUCT( (CapexCategory=$B24)*(L$3&gt;=CapexMonth) * (L$3&lt;=DepStop)* ((L$3-CapexMonth+1)*-DepExp) )</f>
        <v>0</v>
      </c>
      <c r="M24" s="117" cm="1">
        <f t="array" ref="M24">SUMPRODUCT( (CapexCategory=$B24)*(M$3&gt;=CapexMonth) * (M$3&lt;=DepStop)* ((M$3-CapexMonth+1)*-DepExp) )</f>
        <v>0</v>
      </c>
      <c r="N24" s="117" cm="1">
        <f t="array" ref="N24">SUMPRODUCT( (CapexCategory=$B24)*(N$3&gt;=CapexMonth) * (N$3&lt;=DepStop)* ((N$3-CapexMonth+1)*-DepExp) )</f>
        <v>0</v>
      </c>
      <c r="O24" s="117" cm="1">
        <f t="array" ref="O24">SUMPRODUCT( (CapexCategory=$B24)*(O$3&gt;=CapexMonth) * (O$3&lt;=DepStop)* ((O$3-CapexMonth+1)*-DepExp) )</f>
        <v>0</v>
      </c>
      <c r="P24" s="117" cm="1">
        <f t="array" ref="P24">SUMPRODUCT( (CapexCategory=$B24)*(P$3&gt;=CapexMonth) * (P$3&lt;=DepStop)* ((P$3-CapexMonth+1)*-DepExp) )</f>
        <v>0</v>
      </c>
      <c r="Q24" s="117" cm="1">
        <f t="array" ref="Q24">SUMPRODUCT( (CapexCategory=$B24)*(Q$3&gt;=CapexMonth) * (Q$3&lt;=DepStop)* ((Q$3-CapexMonth+1)*-DepExp) )</f>
        <v>0</v>
      </c>
      <c r="R24" s="117" cm="1">
        <f t="array" ref="R24">SUMPRODUCT( (CapexCategory=$B24)*(R$3&gt;=CapexMonth) * (R$3&lt;=DepStop)* ((R$3-CapexMonth+1)*-DepExp) )</f>
        <v>0</v>
      </c>
      <c r="S24" s="117" cm="1">
        <f t="array" ref="S24">SUMPRODUCT( (CapexCategory=$B24)*(S$3&gt;=CapexMonth) * (S$3&lt;=DepStop)* ((S$3-CapexMonth+1)*-DepExp) )</f>
        <v>0</v>
      </c>
      <c r="T24" s="117" cm="1">
        <f t="array" ref="T24">SUMPRODUCT( (CapexCategory=$B24)*(T$3&gt;=CapexMonth) * (T$3&lt;=DepStop)* ((T$3-CapexMonth+1)*-DepExp) )</f>
        <v>0</v>
      </c>
      <c r="U24" s="117" cm="1">
        <f t="array" ref="U24">SUMPRODUCT( (CapexCategory=$B24)*(U$3&gt;=CapexMonth) * (U$3&lt;=DepStop)* ((U$3-CapexMonth+1)*-DepExp) )</f>
        <v>0</v>
      </c>
      <c r="V24" s="243" cm="1">
        <f t="array" ref="V24">SUMPRODUCT( (CapexCategory=$B24)*(V$3&gt;=CapexMonth) * (V$3&lt;=DepStop)* ((V$3-CapexMonth+1)*-DepExp) )</f>
        <v>0</v>
      </c>
      <c r="W24" s="117" cm="1">
        <f t="array" ref="W24">SUMPRODUCT( (CapexCategory=$B24)*(W$3&gt;=CapexMonth) * (W$3&lt;=DepStop)* ((W$3-CapexMonth+1)*-DepExp) )</f>
        <v>0</v>
      </c>
      <c r="X24" s="117" cm="1">
        <f t="array" ref="X24">SUMPRODUCT( (CapexCategory=$B24)*(X$3&gt;=CapexMonth) * (X$3&lt;=DepStop)* ((X$3-CapexMonth+1)*-DepExp) )</f>
        <v>0</v>
      </c>
      <c r="Y24" s="117" cm="1">
        <f t="array" ref="Y24">SUMPRODUCT( (CapexCategory=$B24)*(Y$3&gt;=CapexMonth) * (Y$3&lt;=DepStop)* ((Y$3-CapexMonth+1)*-DepExp) )</f>
        <v>0</v>
      </c>
      <c r="Z24" s="117" cm="1">
        <f t="array" ref="Z24">SUMPRODUCT( (CapexCategory=$B24)*(Z$3&gt;=CapexMonth) * (Z$3&lt;=DepStop)* ((Z$3-CapexMonth+1)*-DepExp) )</f>
        <v>0</v>
      </c>
      <c r="AA24" s="117" cm="1">
        <f t="array" ref="AA24">SUMPRODUCT( (CapexCategory=$B24)*(AA$3&gt;=CapexMonth) * (AA$3&lt;=DepStop)* ((AA$3-CapexMonth+1)*-DepExp) )</f>
        <v>0</v>
      </c>
      <c r="AB24" s="117" cm="1">
        <f t="array" ref="AB24">SUMPRODUCT( (CapexCategory=$B24)*(AB$3&gt;=CapexMonth) * (AB$3&lt;=DepStop)* ((AB$3-CapexMonth+1)*-DepExp) )</f>
        <v>0</v>
      </c>
      <c r="AC24" s="117" cm="1">
        <f t="array" ref="AC24">SUMPRODUCT( (CapexCategory=$B24)*(AC$3&gt;=CapexMonth) * (AC$3&lt;=DepStop)* ((AC$3-CapexMonth+1)*-DepExp) )</f>
        <v>0</v>
      </c>
      <c r="AD24" s="117" cm="1">
        <f t="array" ref="AD24">SUMPRODUCT( (CapexCategory=$B24)*(AD$3&gt;=CapexMonth) * (AD$3&lt;=DepStop)* ((AD$3-CapexMonth+1)*-DepExp) )</f>
        <v>0</v>
      </c>
      <c r="AE24" s="117" cm="1">
        <f t="array" ref="AE24">SUMPRODUCT( (CapexCategory=$B24)*(AE$3&gt;=CapexMonth) * (AE$3&lt;=DepStop)* ((AE$3-CapexMonth+1)*-DepExp) )</f>
        <v>0</v>
      </c>
      <c r="AF24" s="117" cm="1">
        <f t="array" ref="AF24">SUMPRODUCT( (CapexCategory=$B24)*(AF$3&gt;=CapexMonth) * (AF$3&lt;=DepStop)* ((AF$3-CapexMonth+1)*-DepExp) )</f>
        <v>0</v>
      </c>
      <c r="AG24" s="117" cm="1">
        <f t="array" ref="AG24">SUMPRODUCT( (CapexCategory=$B24)*(AG$3&gt;=CapexMonth) * (AG$3&lt;=DepStop)* ((AG$3-CapexMonth+1)*-DepExp) )</f>
        <v>0</v>
      </c>
      <c r="AH24" s="243" cm="1">
        <f t="array" ref="AH24">SUMPRODUCT( (CapexCategory=$B24)*(AH$3&gt;=CapexMonth) * (AH$3&lt;=DepStop)* ((AH$3-CapexMonth+1)*-DepExp) )</f>
        <v>0</v>
      </c>
      <c r="AI24" s="117" cm="1">
        <f t="array" ref="AI24">SUMPRODUCT( (CapexCategory=$B24)*(AI$3&gt;=CapexMonth) * (AI$3&lt;=DepStop)* ((AI$3-CapexMonth+1)*-DepExp) )</f>
        <v>0</v>
      </c>
      <c r="AJ24" s="117" cm="1">
        <f t="array" ref="AJ24">SUMPRODUCT( (CapexCategory=$B24)*(AJ$3&gt;=CapexMonth) * (AJ$3&lt;=DepStop)* ((AJ$3-CapexMonth+1)*-DepExp) )</f>
        <v>0</v>
      </c>
      <c r="AK24" s="117" cm="1">
        <f t="array" ref="AK24">SUMPRODUCT( (CapexCategory=$B24)*(AK$3&gt;=CapexMonth) * (AK$3&lt;=DepStop)* ((AK$3-CapexMonth+1)*-DepExp) )</f>
        <v>0</v>
      </c>
      <c r="AL24" s="117" cm="1">
        <f t="array" ref="AL24">SUMPRODUCT( (CapexCategory=$B24)*(AL$3&gt;=CapexMonth) * (AL$3&lt;=DepStop)* ((AL$3-CapexMonth+1)*-DepExp) )</f>
        <v>0</v>
      </c>
      <c r="AM24" s="117" cm="1">
        <f t="array" ref="AM24">SUMPRODUCT( (CapexCategory=$B24)*(AM$3&gt;=CapexMonth) * (AM$3&lt;=DepStop)* ((AM$3-CapexMonth+1)*-DepExp) )</f>
        <v>0</v>
      </c>
      <c r="AN24" s="117" cm="1">
        <f t="array" ref="AN24">SUMPRODUCT( (CapexCategory=$B24)*(AN$3&gt;=CapexMonth) * (AN$3&lt;=DepStop)* ((AN$3-CapexMonth+1)*-DepExp) )</f>
        <v>0</v>
      </c>
      <c r="AO24" s="117" cm="1">
        <f t="array" ref="AO24">SUMPRODUCT( (CapexCategory=$B24)*(AO$3&gt;=CapexMonth) * (AO$3&lt;=DepStop)* ((AO$3-CapexMonth+1)*-DepExp) )</f>
        <v>0</v>
      </c>
      <c r="AP24" s="117" cm="1">
        <f t="array" ref="AP24">SUMPRODUCT( (CapexCategory=$B24)*(AP$3&gt;=CapexMonth) * (AP$3&lt;=DepStop)* ((AP$3-CapexMonth+1)*-DepExp) )</f>
        <v>0</v>
      </c>
      <c r="AQ24" s="117" cm="1">
        <f t="array" ref="AQ24">SUMPRODUCT( (CapexCategory=$B24)*(AQ$3&gt;=CapexMonth) * (AQ$3&lt;=DepStop)* ((AQ$3-CapexMonth+1)*-DepExp) )</f>
        <v>0</v>
      </c>
      <c r="AR24" s="117" cm="1">
        <f t="array" ref="AR24">SUMPRODUCT( (CapexCategory=$B24)*(AR$3&gt;=CapexMonth) * (AR$3&lt;=DepStop)* ((AR$3-CapexMonth+1)*-DepExp) )</f>
        <v>0</v>
      </c>
      <c r="AS24" s="117" cm="1">
        <f t="array" ref="AS24">SUMPRODUCT( (CapexCategory=$B24)*(AS$3&gt;=CapexMonth) * (AS$3&lt;=DepStop)* ((AS$3-CapexMonth+1)*-DepExp) )</f>
        <v>0</v>
      </c>
      <c r="AT24" s="243" cm="1">
        <f t="array" ref="AT24">SUMPRODUCT( (CapexCategory=$B24)*(AT$3&gt;=CapexMonth) * (AT$3&lt;=DepStop)* ((AT$3-CapexMonth+1)*-DepExp) )</f>
        <v>0</v>
      </c>
      <c r="AU24" s="117" cm="1">
        <f t="array" ref="AU24">SUMPRODUCT( (CapexCategory=$B24)*(AU$3&gt;=CapexMonth) * (AU$3&lt;=DepStop)* ((AU$3-CapexMonth+1)*-DepExp) )</f>
        <v>0</v>
      </c>
      <c r="AV24" s="117" cm="1">
        <f t="array" ref="AV24">SUMPRODUCT( (CapexCategory=$B24)*(AV$3&gt;=CapexMonth) * (AV$3&lt;=DepStop)* ((AV$3-CapexMonth+1)*-DepExp) )</f>
        <v>0</v>
      </c>
      <c r="AW24" s="117" cm="1">
        <f t="array" ref="AW24">SUMPRODUCT( (CapexCategory=$B24)*(AW$3&gt;=CapexMonth) * (AW$3&lt;=DepStop)* ((AW$3-CapexMonth+1)*-DepExp) )</f>
        <v>0</v>
      </c>
      <c r="AX24" s="117" cm="1">
        <f t="array" ref="AX24">SUMPRODUCT( (CapexCategory=$B24)*(AX$3&gt;=CapexMonth) * (AX$3&lt;=DepStop)* ((AX$3-CapexMonth+1)*-DepExp) )</f>
        <v>0</v>
      </c>
      <c r="AY24" s="117" cm="1">
        <f t="array" ref="AY24">SUMPRODUCT( (CapexCategory=$B24)*(AY$3&gt;=CapexMonth) * (AY$3&lt;=DepStop)* ((AY$3-CapexMonth+1)*-DepExp) )</f>
        <v>0</v>
      </c>
      <c r="AZ24" s="117" cm="1">
        <f t="array" ref="AZ24">SUMPRODUCT( (CapexCategory=$B24)*(AZ$3&gt;=CapexMonth) * (AZ$3&lt;=DepStop)* ((AZ$3-CapexMonth+1)*-DepExp) )</f>
        <v>0</v>
      </c>
      <c r="BA24" s="117" cm="1">
        <f t="array" ref="BA24">SUMPRODUCT( (CapexCategory=$B24)*(BA$3&gt;=CapexMonth) * (BA$3&lt;=DepStop)* ((BA$3-CapexMonth+1)*-DepExp) )</f>
        <v>0</v>
      </c>
      <c r="BB24" s="117" cm="1">
        <f t="array" ref="BB24">SUMPRODUCT( (CapexCategory=$B24)*(BB$3&gt;=CapexMonth) * (BB$3&lt;=DepStop)* ((BB$3-CapexMonth+1)*-DepExp) )</f>
        <v>0</v>
      </c>
      <c r="BC24" s="117" cm="1">
        <f t="array" ref="BC24">SUMPRODUCT( (CapexCategory=$B24)*(BC$3&gt;=CapexMonth) * (BC$3&lt;=DepStop)* ((BC$3-CapexMonth+1)*-DepExp) )</f>
        <v>0</v>
      </c>
      <c r="BD24" s="117" cm="1">
        <f t="array" ref="BD24">SUMPRODUCT( (CapexCategory=$B24)*(BD$3&gt;=CapexMonth) * (BD$3&lt;=DepStop)* ((BD$3-CapexMonth+1)*-DepExp) )</f>
        <v>0</v>
      </c>
      <c r="BE24" s="117" cm="1">
        <f t="array" ref="BE24">SUMPRODUCT( (CapexCategory=$B24)*(BE$3&gt;=CapexMonth) * (BE$3&lt;=DepStop)* ((BE$3-CapexMonth+1)*-DepExp) )</f>
        <v>0</v>
      </c>
      <c r="BF24" s="243" cm="1">
        <f t="array" ref="BF24">SUMPRODUCT( (CapexCategory=$B24)*(BF$3&gt;=CapexMonth) * (BF$3&lt;=DepStop)* ((BF$3-CapexMonth+1)*-DepExp) )</f>
        <v>0</v>
      </c>
      <c r="BG24" s="117" cm="1">
        <f t="array" ref="BG24">SUMPRODUCT( (CapexCategory=$B24)*(BG$3&gt;=CapexMonth) * (BG$3&lt;=DepStop)* ((BG$3-CapexMonth+1)*-DepExp) )</f>
        <v>0</v>
      </c>
      <c r="BH24" s="117" cm="1">
        <f t="array" ref="BH24">SUMPRODUCT( (CapexCategory=$B24)*(BH$3&gt;=CapexMonth) * (BH$3&lt;=DepStop)* ((BH$3-CapexMonth+1)*-DepExp) )</f>
        <v>0</v>
      </c>
      <c r="BI24" s="117" cm="1">
        <f t="array" ref="BI24">SUMPRODUCT( (CapexCategory=$B24)*(BI$3&gt;=CapexMonth) * (BI$3&lt;=DepStop)* ((BI$3-CapexMonth+1)*-DepExp) )</f>
        <v>0</v>
      </c>
      <c r="BJ24" s="117" cm="1">
        <f t="array" ref="BJ24">SUMPRODUCT( (CapexCategory=$B24)*(BJ$3&gt;=CapexMonth) * (BJ$3&lt;=DepStop)* ((BJ$3-CapexMonth+1)*-DepExp) )</f>
        <v>0</v>
      </c>
      <c r="BK24" s="117" cm="1">
        <f t="array" ref="BK24">SUMPRODUCT( (CapexCategory=$B24)*(BK$3&gt;=CapexMonth) * (BK$3&lt;=DepStop)* ((BK$3-CapexMonth+1)*-DepExp) )</f>
        <v>0</v>
      </c>
      <c r="BL24" s="117" cm="1">
        <f t="array" ref="BL24">SUMPRODUCT( (CapexCategory=$B24)*(BL$3&gt;=CapexMonth) * (BL$3&lt;=DepStop)* ((BL$3-CapexMonth+1)*-DepExp) )</f>
        <v>0</v>
      </c>
      <c r="BM24" s="117" cm="1">
        <f t="array" ref="BM24">SUMPRODUCT( (CapexCategory=$B24)*(BM$3&gt;=CapexMonth) * (BM$3&lt;=DepStop)* ((BM$3-CapexMonth+1)*-DepExp) )</f>
        <v>0</v>
      </c>
      <c r="BN24" s="117" cm="1">
        <f t="array" ref="BN24">SUMPRODUCT( (CapexCategory=$B24)*(BN$3&gt;=CapexMonth) * (BN$3&lt;=DepStop)* ((BN$3-CapexMonth+1)*-DepExp) )</f>
        <v>0</v>
      </c>
      <c r="BO24" s="117" cm="1">
        <f t="array" ref="BO24">SUMPRODUCT( (CapexCategory=$B24)*(BO$3&gt;=CapexMonth) * (BO$3&lt;=DepStop)* ((BO$3-CapexMonth+1)*-DepExp) )</f>
        <v>0</v>
      </c>
      <c r="BP24" s="117" cm="1">
        <f t="array" ref="BP24">SUMPRODUCT( (CapexCategory=$B24)*(BP$3&gt;=CapexMonth) * (BP$3&lt;=DepStop)* ((BP$3-CapexMonth+1)*-DepExp) )</f>
        <v>0</v>
      </c>
      <c r="BQ24" s="117" cm="1">
        <f t="array" ref="BQ24">SUMPRODUCT( (CapexCategory=$B24)*(BQ$3&gt;=CapexMonth) * (BQ$3&lt;=DepStop)* ((BQ$3-CapexMonth+1)*-DepExp) )</f>
        <v>0</v>
      </c>
      <c r="BR24" s="243" cm="1">
        <f t="array" ref="BR24">SUMPRODUCT( (CapexCategory=$B24)*(BR$3&gt;=CapexMonth) * (BR$3&lt;=DepStop)* ((BR$3-CapexMonth+1)*-DepExp) )</f>
        <v>0</v>
      </c>
    </row>
    <row r="25" spans="1:70" s="321" customFormat="1" ht="15.6" hidden="1" x14ac:dyDescent="0.35">
      <c r="A25" s="164"/>
      <c r="B25" s="232" t="s">
        <v>181</v>
      </c>
      <c r="C25" s="160"/>
      <c r="D25" s="105"/>
      <c r="E25" s="295">
        <f t="shared" si="12"/>
        <v>0</v>
      </c>
      <c r="F25" s="295">
        <f t="shared" si="13"/>
        <v>0</v>
      </c>
      <c r="G25" s="295">
        <f t="shared" si="14"/>
        <v>0</v>
      </c>
      <c r="H25" s="295">
        <f t="shared" si="15"/>
        <v>0</v>
      </c>
      <c r="I25" s="295">
        <f t="shared" si="16"/>
        <v>0</v>
      </c>
      <c r="J25" s="238"/>
      <c r="K25" s="241" cm="1">
        <f t="array" ref="K25">SUMPRODUCT( ((ISBLANK(CapexCategory) + (CapexCategory="Other"))&gt;0) *(K$3&gt;=CapexMonth) * (K$3&lt;=DepStop)* ((K$3-CapexMonth+1)*-DepExp) )</f>
        <v>0</v>
      </c>
      <c r="L25" s="241" cm="1">
        <f t="array" ref="L25">SUMPRODUCT( ((ISBLANK(CapexCategory) + (CapexCategory="Other"))&gt;0) *(L$3&gt;=CapexMonth) * (L$3&lt;=DepStop)* ((L$3-CapexMonth+1)*-DepExp) )</f>
        <v>0</v>
      </c>
      <c r="M25" s="241" cm="1">
        <f t="array" ref="M25">SUMPRODUCT( ((ISBLANK(CapexCategory) + (CapexCategory="Other"))&gt;0) *(M$3&gt;=CapexMonth) * (M$3&lt;=DepStop)* ((M$3-CapexMonth+1)*-DepExp) )</f>
        <v>0</v>
      </c>
      <c r="N25" s="241" cm="1">
        <f t="array" ref="N25">SUMPRODUCT( ((ISBLANK(CapexCategory) + (CapexCategory="Other"))&gt;0) *(N$3&gt;=CapexMonth) * (N$3&lt;=DepStop)* ((N$3-CapexMonth+1)*-DepExp) )</f>
        <v>0</v>
      </c>
      <c r="O25" s="241" cm="1">
        <f t="array" ref="O25">SUMPRODUCT( ((ISBLANK(CapexCategory) + (CapexCategory="Other"))&gt;0) *(O$3&gt;=CapexMonth) * (O$3&lt;=DepStop)* ((O$3-CapexMonth+1)*-DepExp) )</f>
        <v>0</v>
      </c>
      <c r="P25" s="241" cm="1">
        <f t="array" ref="P25">SUMPRODUCT( ((ISBLANK(CapexCategory) + (CapexCategory="Other"))&gt;0) *(P$3&gt;=CapexMonth) * (P$3&lt;=DepStop)* ((P$3-CapexMonth+1)*-DepExp) )</f>
        <v>0</v>
      </c>
      <c r="Q25" s="241" cm="1">
        <f t="array" ref="Q25">SUMPRODUCT( ((ISBLANK(CapexCategory) + (CapexCategory="Other"))&gt;0) *(Q$3&gt;=CapexMonth) * (Q$3&lt;=DepStop)* ((Q$3-CapexMonth+1)*-DepExp) )</f>
        <v>0</v>
      </c>
      <c r="R25" s="241" cm="1">
        <f t="array" ref="R25">SUMPRODUCT( ((ISBLANK(CapexCategory) + (CapexCategory="Other"))&gt;0) *(R$3&gt;=CapexMonth) * (R$3&lt;=DepStop)* ((R$3-CapexMonth+1)*-DepExp) )</f>
        <v>0</v>
      </c>
      <c r="S25" s="241" cm="1">
        <f t="array" ref="S25">SUMPRODUCT( ((ISBLANK(CapexCategory) + (CapexCategory="Other"))&gt;0) *(S$3&gt;=CapexMonth) * (S$3&lt;=DepStop)* ((S$3-CapexMonth+1)*-DepExp) )</f>
        <v>0</v>
      </c>
      <c r="T25" s="241" cm="1">
        <f t="array" ref="T25">SUMPRODUCT( ((ISBLANK(CapexCategory) + (CapexCategory="Other"))&gt;0) *(T$3&gt;=CapexMonth) * (T$3&lt;=DepStop)* ((T$3-CapexMonth+1)*-DepExp) )</f>
        <v>0</v>
      </c>
      <c r="U25" s="241" cm="1">
        <f t="array" ref="U25">SUMPRODUCT( ((ISBLANK(CapexCategory) + (CapexCategory="Other"))&gt;0) *(U$3&gt;=CapexMonth) * (U$3&lt;=DepStop)* ((U$3-CapexMonth+1)*-DepExp) )</f>
        <v>0</v>
      </c>
      <c r="V25" s="244" cm="1">
        <f t="array" ref="V25">SUMPRODUCT( ((ISBLANK(CapexCategory) + (CapexCategory="Other"))&gt;0) *(V$3&gt;=CapexMonth) * (V$3&lt;=DepStop)* ((V$3-CapexMonth+1)*-DepExp) )</f>
        <v>0</v>
      </c>
      <c r="W25" s="241" cm="1">
        <f t="array" ref="W25">SUMPRODUCT( ((ISBLANK(CapexCategory) + (CapexCategory="Other"))&gt;0) *(W$3&gt;=CapexMonth) * (W$3&lt;=DepStop)* ((W$3-CapexMonth+1)*-DepExp) )</f>
        <v>0</v>
      </c>
      <c r="X25" s="241" cm="1">
        <f t="array" ref="X25">SUMPRODUCT( ((ISBLANK(CapexCategory) + (CapexCategory="Other"))&gt;0) *(X$3&gt;=CapexMonth) * (X$3&lt;=DepStop)* ((X$3-CapexMonth+1)*-DepExp) )</f>
        <v>0</v>
      </c>
      <c r="Y25" s="241" cm="1">
        <f t="array" ref="Y25">SUMPRODUCT( ((ISBLANK(CapexCategory) + (CapexCategory="Other"))&gt;0) *(Y$3&gt;=CapexMonth) * (Y$3&lt;=DepStop)* ((Y$3-CapexMonth+1)*-DepExp) )</f>
        <v>0</v>
      </c>
      <c r="Z25" s="241" cm="1">
        <f t="array" ref="Z25">SUMPRODUCT( ((ISBLANK(CapexCategory) + (CapexCategory="Other"))&gt;0) *(Z$3&gt;=CapexMonth) * (Z$3&lt;=DepStop)* ((Z$3-CapexMonth+1)*-DepExp) )</f>
        <v>0</v>
      </c>
      <c r="AA25" s="241" cm="1">
        <f t="array" ref="AA25">SUMPRODUCT( ((ISBLANK(CapexCategory) + (CapexCategory="Other"))&gt;0) *(AA$3&gt;=CapexMonth) * (AA$3&lt;=DepStop)* ((AA$3-CapexMonth+1)*-DepExp) )</f>
        <v>0</v>
      </c>
      <c r="AB25" s="241" cm="1">
        <f t="array" ref="AB25">SUMPRODUCT( ((ISBLANK(CapexCategory) + (CapexCategory="Other"))&gt;0) *(AB$3&gt;=CapexMonth) * (AB$3&lt;=DepStop)* ((AB$3-CapexMonth+1)*-DepExp) )</f>
        <v>-3.3333333333333335</v>
      </c>
      <c r="AC25" s="241" cm="1">
        <f t="array" ref="AC25">SUMPRODUCT( ((ISBLANK(CapexCategory) + (CapexCategory="Other"))&gt;0) *(AC$3&gt;=CapexMonth) * (AC$3&lt;=DepStop)* ((AC$3-CapexMonth+1)*-DepExp) )</f>
        <v>-6.666666666666667</v>
      </c>
      <c r="AD25" s="241" cm="1">
        <f t="array" ref="AD25">SUMPRODUCT( ((ISBLANK(CapexCategory) + (CapexCategory="Other"))&gt;0) *(AD$3&gt;=CapexMonth) * (AD$3&lt;=DepStop)* ((AD$3-CapexMonth+1)*-DepExp) )</f>
        <v>-10</v>
      </c>
      <c r="AE25" s="241" cm="1">
        <f t="array" ref="AE25">SUMPRODUCT( ((ISBLANK(CapexCategory) + (CapexCategory="Other"))&gt;0) *(AE$3&gt;=CapexMonth) * (AE$3&lt;=DepStop)* ((AE$3-CapexMonth+1)*-DepExp) )</f>
        <v>0</v>
      </c>
      <c r="AF25" s="241" cm="1">
        <f t="array" ref="AF25">SUMPRODUCT( ((ISBLANK(CapexCategory) + (CapexCategory="Other"))&gt;0) *(AF$3&gt;=CapexMonth) * (AF$3&lt;=DepStop)* ((AF$3-CapexMonth+1)*-DepExp) )</f>
        <v>0</v>
      </c>
      <c r="AG25" s="241" cm="1">
        <f t="array" ref="AG25">SUMPRODUCT( ((ISBLANK(CapexCategory) + (CapexCategory="Other"))&gt;0) *(AG$3&gt;=CapexMonth) * (AG$3&lt;=DepStop)* ((AG$3-CapexMonth+1)*-DepExp) )</f>
        <v>0</v>
      </c>
      <c r="AH25" s="244" cm="1">
        <f t="array" ref="AH25">SUMPRODUCT( ((ISBLANK(CapexCategory) + (CapexCategory="Other"))&gt;0) *(AH$3&gt;=CapexMonth) * (AH$3&lt;=DepStop)* ((AH$3-CapexMonth+1)*-DepExp) )</f>
        <v>0</v>
      </c>
      <c r="AI25" s="241" cm="1">
        <f t="array" ref="AI25">SUMPRODUCT( ((ISBLANK(CapexCategory) + (CapexCategory="Other"))&gt;0) *(AI$3&gt;=CapexMonth) * (AI$3&lt;=DepStop)* ((AI$3-CapexMonth+1)*-DepExp) )</f>
        <v>0</v>
      </c>
      <c r="AJ25" s="241" cm="1">
        <f t="array" ref="AJ25">SUMPRODUCT( ((ISBLANK(CapexCategory) + (CapexCategory="Other"))&gt;0) *(AJ$3&gt;=CapexMonth) * (AJ$3&lt;=DepStop)* ((AJ$3-CapexMonth+1)*-DepExp) )</f>
        <v>0</v>
      </c>
      <c r="AK25" s="241" cm="1">
        <f t="array" ref="AK25">SUMPRODUCT( ((ISBLANK(CapexCategory) + (CapexCategory="Other"))&gt;0) *(AK$3&gt;=CapexMonth) * (AK$3&lt;=DepStop)* ((AK$3-CapexMonth+1)*-DepExp) )</f>
        <v>0</v>
      </c>
      <c r="AL25" s="241" cm="1">
        <f t="array" ref="AL25">SUMPRODUCT( ((ISBLANK(CapexCategory) + (CapexCategory="Other"))&gt;0) *(AL$3&gt;=CapexMonth) * (AL$3&lt;=DepStop)* ((AL$3-CapexMonth+1)*-DepExp) )</f>
        <v>0</v>
      </c>
      <c r="AM25" s="241" cm="1">
        <f t="array" ref="AM25">SUMPRODUCT( ((ISBLANK(CapexCategory) + (CapexCategory="Other"))&gt;0) *(AM$3&gt;=CapexMonth) * (AM$3&lt;=DepStop)* ((AM$3-CapexMonth+1)*-DepExp) )</f>
        <v>0</v>
      </c>
      <c r="AN25" s="241" cm="1">
        <f t="array" ref="AN25">SUMPRODUCT( ((ISBLANK(CapexCategory) + (CapexCategory="Other"))&gt;0) *(AN$3&gt;=CapexMonth) * (AN$3&lt;=DepStop)* ((AN$3-CapexMonth+1)*-DepExp) )</f>
        <v>0</v>
      </c>
      <c r="AO25" s="241" cm="1">
        <f t="array" ref="AO25">SUMPRODUCT( ((ISBLANK(CapexCategory) + (CapexCategory="Other"))&gt;0) *(AO$3&gt;=CapexMonth) * (AO$3&lt;=DepStop)* ((AO$3-CapexMonth+1)*-DepExp) )</f>
        <v>0</v>
      </c>
      <c r="AP25" s="241" cm="1">
        <f t="array" ref="AP25">SUMPRODUCT( ((ISBLANK(CapexCategory) + (CapexCategory="Other"))&gt;0) *(AP$3&gt;=CapexMonth) * (AP$3&lt;=DepStop)* ((AP$3-CapexMonth+1)*-DepExp) )</f>
        <v>0</v>
      </c>
      <c r="AQ25" s="241" cm="1">
        <f t="array" ref="AQ25">SUMPRODUCT( ((ISBLANK(CapexCategory) + (CapexCategory="Other"))&gt;0) *(AQ$3&gt;=CapexMonth) * (AQ$3&lt;=DepStop)* ((AQ$3-CapexMonth+1)*-DepExp) )</f>
        <v>0</v>
      </c>
      <c r="AR25" s="241" cm="1">
        <f t="array" ref="AR25">SUMPRODUCT( ((ISBLANK(CapexCategory) + (CapexCategory="Other"))&gt;0) *(AR$3&gt;=CapexMonth) * (AR$3&lt;=DepStop)* ((AR$3-CapexMonth+1)*-DepExp) )</f>
        <v>0</v>
      </c>
      <c r="AS25" s="241" cm="1">
        <f t="array" ref="AS25">SUMPRODUCT( ((ISBLANK(CapexCategory) + (CapexCategory="Other"))&gt;0) *(AS$3&gt;=CapexMonth) * (AS$3&lt;=DepStop)* ((AS$3-CapexMonth+1)*-DepExp) )</f>
        <v>0</v>
      </c>
      <c r="AT25" s="244" cm="1">
        <f t="array" ref="AT25">SUMPRODUCT( ((ISBLANK(CapexCategory) + (CapexCategory="Other"))&gt;0) *(AT$3&gt;=CapexMonth) * (AT$3&lt;=DepStop)* ((AT$3-CapexMonth+1)*-DepExp) )</f>
        <v>0</v>
      </c>
      <c r="AU25" s="241" cm="1">
        <f t="array" ref="AU25">SUMPRODUCT( ((ISBLANK(CapexCategory) + (CapexCategory="Other"))&gt;0) *(AU$3&gt;=CapexMonth) * (AU$3&lt;=DepStop)* ((AU$3-CapexMonth+1)*-DepExp) )</f>
        <v>0</v>
      </c>
      <c r="AV25" s="241" cm="1">
        <f t="array" ref="AV25">SUMPRODUCT( ((ISBLANK(CapexCategory) + (CapexCategory="Other"))&gt;0) *(AV$3&gt;=CapexMonth) * (AV$3&lt;=DepStop)* ((AV$3-CapexMonth+1)*-DepExp) )</f>
        <v>0</v>
      </c>
      <c r="AW25" s="241" cm="1">
        <f t="array" ref="AW25">SUMPRODUCT( ((ISBLANK(CapexCategory) + (CapexCategory="Other"))&gt;0) *(AW$3&gt;=CapexMonth) * (AW$3&lt;=DepStop)* ((AW$3-CapexMonth+1)*-DepExp) )</f>
        <v>0</v>
      </c>
      <c r="AX25" s="241" cm="1">
        <f t="array" ref="AX25">SUMPRODUCT( ((ISBLANK(CapexCategory) + (CapexCategory="Other"))&gt;0) *(AX$3&gt;=CapexMonth) * (AX$3&lt;=DepStop)* ((AX$3-CapexMonth+1)*-DepExp) )</f>
        <v>0</v>
      </c>
      <c r="AY25" s="241" cm="1">
        <f t="array" ref="AY25">SUMPRODUCT( ((ISBLANK(CapexCategory) + (CapexCategory="Other"))&gt;0) *(AY$3&gt;=CapexMonth) * (AY$3&lt;=DepStop)* ((AY$3-CapexMonth+1)*-DepExp) )</f>
        <v>0</v>
      </c>
      <c r="AZ25" s="241" cm="1">
        <f t="array" ref="AZ25">SUMPRODUCT( ((ISBLANK(CapexCategory) + (CapexCategory="Other"))&gt;0) *(AZ$3&gt;=CapexMonth) * (AZ$3&lt;=DepStop)* ((AZ$3-CapexMonth+1)*-DepExp) )</f>
        <v>0</v>
      </c>
      <c r="BA25" s="241" cm="1">
        <f t="array" ref="BA25">SUMPRODUCT( ((ISBLANK(CapexCategory) + (CapexCategory="Other"))&gt;0) *(BA$3&gt;=CapexMonth) * (BA$3&lt;=DepStop)* ((BA$3-CapexMonth+1)*-DepExp) )</f>
        <v>0</v>
      </c>
      <c r="BB25" s="241" cm="1">
        <f t="array" ref="BB25">SUMPRODUCT( ((ISBLANK(CapexCategory) + (CapexCategory="Other"))&gt;0) *(BB$3&gt;=CapexMonth) * (BB$3&lt;=DepStop)* ((BB$3-CapexMonth+1)*-DepExp) )</f>
        <v>0</v>
      </c>
      <c r="BC25" s="241" cm="1">
        <f t="array" ref="BC25">SUMPRODUCT( ((ISBLANK(CapexCategory) + (CapexCategory="Other"))&gt;0) *(BC$3&gt;=CapexMonth) * (BC$3&lt;=DepStop)* ((BC$3-CapexMonth+1)*-DepExp) )</f>
        <v>0</v>
      </c>
      <c r="BD25" s="241" cm="1">
        <f t="array" ref="BD25">SUMPRODUCT( ((ISBLANK(CapexCategory) + (CapexCategory="Other"))&gt;0) *(BD$3&gt;=CapexMonth) * (BD$3&lt;=DepStop)* ((BD$3-CapexMonth+1)*-DepExp) )</f>
        <v>0</v>
      </c>
      <c r="BE25" s="241" cm="1">
        <f t="array" ref="BE25">SUMPRODUCT( ((ISBLANK(CapexCategory) + (CapexCategory="Other"))&gt;0) *(BE$3&gt;=CapexMonth) * (BE$3&lt;=DepStop)* ((BE$3-CapexMonth+1)*-DepExp) )</f>
        <v>0</v>
      </c>
      <c r="BF25" s="244" cm="1">
        <f t="array" ref="BF25">SUMPRODUCT( ((ISBLANK(CapexCategory) + (CapexCategory="Other"))&gt;0) *(BF$3&gt;=CapexMonth) * (BF$3&lt;=DepStop)* ((BF$3-CapexMonth+1)*-DepExp) )</f>
        <v>0</v>
      </c>
      <c r="BG25" s="241" cm="1">
        <f t="array" ref="BG25">SUMPRODUCT( ((ISBLANK(CapexCategory) + (CapexCategory="Other"))&gt;0) *(BG$3&gt;=CapexMonth) * (BG$3&lt;=DepStop)* ((BG$3-CapexMonth+1)*-DepExp) )</f>
        <v>0</v>
      </c>
      <c r="BH25" s="241" cm="1">
        <f t="array" ref="BH25">SUMPRODUCT( ((ISBLANK(CapexCategory) + (CapexCategory="Other"))&gt;0) *(BH$3&gt;=CapexMonth) * (BH$3&lt;=DepStop)* ((BH$3-CapexMonth+1)*-DepExp) )</f>
        <v>0</v>
      </c>
      <c r="BI25" s="241" cm="1">
        <f t="array" ref="BI25">SUMPRODUCT( ((ISBLANK(CapexCategory) + (CapexCategory="Other"))&gt;0) *(BI$3&gt;=CapexMonth) * (BI$3&lt;=DepStop)* ((BI$3-CapexMonth+1)*-DepExp) )</f>
        <v>0</v>
      </c>
      <c r="BJ25" s="241" cm="1">
        <f t="array" ref="BJ25">SUMPRODUCT( ((ISBLANK(CapexCategory) + (CapexCategory="Other"))&gt;0) *(BJ$3&gt;=CapexMonth) * (BJ$3&lt;=DepStop)* ((BJ$3-CapexMonth+1)*-DepExp) )</f>
        <v>0</v>
      </c>
      <c r="BK25" s="241" cm="1">
        <f t="array" ref="BK25">SUMPRODUCT( ((ISBLANK(CapexCategory) + (CapexCategory="Other"))&gt;0) *(BK$3&gt;=CapexMonth) * (BK$3&lt;=DepStop)* ((BK$3-CapexMonth+1)*-DepExp) )</f>
        <v>0</v>
      </c>
      <c r="BL25" s="241" cm="1">
        <f t="array" ref="BL25">SUMPRODUCT( ((ISBLANK(CapexCategory) + (CapexCategory="Other"))&gt;0) *(BL$3&gt;=CapexMonth) * (BL$3&lt;=DepStop)* ((BL$3-CapexMonth+1)*-DepExp) )</f>
        <v>0</v>
      </c>
      <c r="BM25" s="241" cm="1">
        <f t="array" ref="BM25">SUMPRODUCT( ((ISBLANK(CapexCategory) + (CapexCategory="Other"))&gt;0) *(BM$3&gt;=CapexMonth) * (BM$3&lt;=DepStop)* ((BM$3-CapexMonth+1)*-DepExp) )</f>
        <v>0</v>
      </c>
      <c r="BN25" s="241" cm="1">
        <f t="array" ref="BN25">SUMPRODUCT( ((ISBLANK(CapexCategory) + (CapexCategory="Other"))&gt;0) *(BN$3&gt;=CapexMonth) * (BN$3&lt;=DepStop)* ((BN$3-CapexMonth+1)*-DepExp) )</f>
        <v>0</v>
      </c>
      <c r="BO25" s="241" cm="1">
        <f t="array" ref="BO25">SUMPRODUCT( ((ISBLANK(CapexCategory) + (CapexCategory="Other"))&gt;0) *(BO$3&gt;=CapexMonth) * (BO$3&lt;=DepStop)* ((BO$3-CapexMonth+1)*-DepExp) )</f>
        <v>0</v>
      </c>
      <c r="BP25" s="241" cm="1">
        <f t="array" ref="BP25">SUMPRODUCT( ((ISBLANK(CapexCategory) + (CapexCategory="Other"))&gt;0) *(BP$3&gt;=CapexMonth) * (BP$3&lt;=DepStop)* ((BP$3-CapexMonth+1)*-DepExp) )</f>
        <v>0</v>
      </c>
      <c r="BQ25" s="241" cm="1">
        <f t="array" ref="BQ25">SUMPRODUCT( ((ISBLANK(CapexCategory) + (CapexCategory="Other"))&gt;0) *(BQ$3&gt;=CapexMonth) * (BQ$3&lt;=DepStop)* ((BQ$3-CapexMonth+1)*-DepExp) )</f>
        <v>0</v>
      </c>
      <c r="BR25" s="244" cm="1">
        <f t="array" ref="BR25">SUMPRODUCT( ((ISBLANK(CapexCategory) + (CapexCategory="Other"))&gt;0) *(BR$3&gt;=CapexMonth) * (BR$3&lt;=DepStop)* ((BR$3-CapexMonth+1)*-DepExp) )</f>
        <v>0</v>
      </c>
    </row>
    <row r="26" spans="1:70" s="321" customFormat="1" ht="15.6" x14ac:dyDescent="0.35">
      <c r="A26" s="164"/>
      <c r="B26" s="261" t="s">
        <v>219</v>
      </c>
      <c r="C26" s="185"/>
      <c r="D26" s="93"/>
      <c r="E26" s="294">
        <f t="shared" ref="E26" si="17">V26</f>
        <v>-133.33333333333334</v>
      </c>
      <c r="F26" s="294">
        <f t="shared" ref="F26" si="18">AH26</f>
        <v>0</v>
      </c>
      <c r="G26" s="294">
        <f t="shared" ref="G26" si="19">AT26</f>
        <v>0</v>
      </c>
      <c r="H26" s="294">
        <f t="shared" ref="H26" si="20">BF26</f>
        <v>0</v>
      </c>
      <c r="I26" s="294">
        <f t="shared" ref="I26" si="21">BR26</f>
        <v>0</v>
      </c>
      <c r="J26" s="238"/>
      <c r="K26" s="238">
        <f>SUM(K20:K25)</f>
        <v>-4</v>
      </c>
      <c r="L26" s="238">
        <f t="shared" ref="L26:AP26" si="22">SUM(L20:L25)</f>
        <v>-8</v>
      </c>
      <c r="M26" s="238">
        <f t="shared" si="22"/>
        <v>-12</v>
      </c>
      <c r="N26" s="238">
        <f t="shared" si="22"/>
        <v>-25.25925925925926</v>
      </c>
      <c r="O26" s="238">
        <f t="shared" si="22"/>
        <v>-38.518518518518519</v>
      </c>
      <c r="P26" s="238">
        <f t="shared" si="22"/>
        <v>-58.920634920634924</v>
      </c>
      <c r="Q26" s="238">
        <f t="shared" si="22"/>
        <v>-79.32275132275133</v>
      </c>
      <c r="R26" s="238">
        <f t="shared" si="22"/>
        <v>-116.39153439153441</v>
      </c>
      <c r="S26" s="238">
        <f t="shared" si="22"/>
        <v>-153.46031746031747</v>
      </c>
      <c r="T26" s="238">
        <f t="shared" si="22"/>
        <v>-190.52910052910053</v>
      </c>
      <c r="U26" s="238">
        <f t="shared" si="22"/>
        <v>-116.93121693121694</v>
      </c>
      <c r="V26" s="245">
        <f t="shared" si="22"/>
        <v>-133.33333333333334</v>
      </c>
      <c r="W26" s="238">
        <f t="shared" si="22"/>
        <v>-92.592592592592595</v>
      </c>
      <c r="X26" s="238">
        <f t="shared" si="22"/>
        <v>-101.85185185185185</v>
      </c>
      <c r="Y26" s="238">
        <f t="shared" si="22"/>
        <v>-111.11111111111111</v>
      </c>
      <c r="Z26" s="238">
        <f t="shared" si="22"/>
        <v>-120.37037037037038</v>
      </c>
      <c r="AA26" s="238">
        <f t="shared" si="22"/>
        <v>-129.62962962962962</v>
      </c>
      <c r="AB26" s="238">
        <f t="shared" si="22"/>
        <v>-142.22222222222223</v>
      </c>
      <c r="AC26" s="238">
        <f t="shared" si="22"/>
        <v>-154.81481481481481</v>
      </c>
      <c r="AD26" s="238">
        <f t="shared" si="22"/>
        <v>-167.40740740740742</v>
      </c>
      <c r="AE26" s="238">
        <f t="shared" si="22"/>
        <v>0</v>
      </c>
      <c r="AF26" s="238">
        <f t="shared" si="22"/>
        <v>0</v>
      </c>
      <c r="AG26" s="238">
        <f t="shared" si="22"/>
        <v>0</v>
      </c>
      <c r="AH26" s="245">
        <f t="shared" si="22"/>
        <v>0</v>
      </c>
      <c r="AI26" s="238">
        <f t="shared" si="22"/>
        <v>0</v>
      </c>
      <c r="AJ26" s="238">
        <f t="shared" si="22"/>
        <v>0</v>
      </c>
      <c r="AK26" s="238">
        <f t="shared" si="22"/>
        <v>0</v>
      </c>
      <c r="AL26" s="238">
        <f t="shared" si="22"/>
        <v>0</v>
      </c>
      <c r="AM26" s="238">
        <f t="shared" si="22"/>
        <v>0</v>
      </c>
      <c r="AN26" s="238">
        <f t="shared" si="22"/>
        <v>0</v>
      </c>
      <c r="AO26" s="238">
        <f t="shared" si="22"/>
        <v>0</v>
      </c>
      <c r="AP26" s="238">
        <f t="shared" si="22"/>
        <v>0</v>
      </c>
      <c r="AQ26" s="238">
        <f t="shared" ref="AQ26:BR26" si="23">SUM(AQ20:AQ25)</f>
        <v>0</v>
      </c>
      <c r="AR26" s="238">
        <f t="shared" si="23"/>
        <v>0</v>
      </c>
      <c r="AS26" s="238">
        <f t="shared" si="23"/>
        <v>0</v>
      </c>
      <c r="AT26" s="245">
        <f t="shared" si="23"/>
        <v>0</v>
      </c>
      <c r="AU26" s="238">
        <f t="shared" si="23"/>
        <v>0</v>
      </c>
      <c r="AV26" s="238">
        <f t="shared" si="23"/>
        <v>0</v>
      </c>
      <c r="AW26" s="238">
        <f t="shared" si="23"/>
        <v>0</v>
      </c>
      <c r="AX26" s="238">
        <f t="shared" si="23"/>
        <v>0</v>
      </c>
      <c r="AY26" s="238">
        <f t="shared" si="23"/>
        <v>0</v>
      </c>
      <c r="AZ26" s="238">
        <f t="shared" si="23"/>
        <v>0</v>
      </c>
      <c r="BA26" s="238">
        <f t="shared" si="23"/>
        <v>0</v>
      </c>
      <c r="BB26" s="238">
        <f t="shared" si="23"/>
        <v>0</v>
      </c>
      <c r="BC26" s="238">
        <f t="shared" si="23"/>
        <v>0</v>
      </c>
      <c r="BD26" s="238">
        <f t="shared" si="23"/>
        <v>0</v>
      </c>
      <c r="BE26" s="238">
        <f t="shared" si="23"/>
        <v>0</v>
      </c>
      <c r="BF26" s="245">
        <f t="shared" si="23"/>
        <v>0</v>
      </c>
      <c r="BG26" s="238">
        <f t="shared" si="23"/>
        <v>0</v>
      </c>
      <c r="BH26" s="238">
        <f t="shared" si="23"/>
        <v>0</v>
      </c>
      <c r="BI26" s="238">
        <f t="shared" si="23"/>
        <v>0</v>
      </c>
      <c r="BJ26" s="238">
        <f t="shared" si="23"/>
        <v>0</v>
      </c>
      <c r="BK26" s="238">
        <f t="shared" si="23"/>
        <v>0</v>
      </c>
      <c r="BL26" s="238">
        <f t="shared" si="23"/>
        <v>0</v>
      </c>
      <c r="BM26" s="238">
        <f t="shared" si="23"/>
        <v>0</v>
      </c>
      <c r="BN26" s="238">
        <f t="shared" si="23"/>
        <v>0</v>
      </c>
      <c r="BO26" s="238">
        <f t="shared" si="23"/>
        <v>0</v>
      </c>
      <c r="BP26" s="238">
        <f t="shared" si="23"/>
        <v>0</v>
      </c>
      <c r="BQ26" s="238">
        <f t="shared" si="23"/>
        <v>0</v>
      </c>
      <c r="BR26" s="245">
        <f t="shared" si="23"/>
        <v>0</v>
      </c>
    </row>
    <row r="27" spans="1:70" hidden="1" x14ac:dyDescent="0.3">
      <c r="A27" s="2"/>
      <c r="B27" s="159" t="s">
        <v>47</v>
      </c>
      <c r="C27" s="185"/>
      <c r="E27" s="243">
        <f t="shared" ref="E27:E33" si="24">V27</f>
        <v>250</v>
      </c>
      <c r="F27" s="243">
        <f t="shared" ref="F27:F33" si="25">AH27</f>
        <v>0</v>
      </c>
      <c r="G27" s="243">
        <f t="shared" ref="G27:G33" si="26">AT27</f>
        <v>0</v>
      </c>
      <c r="H27" s="243">
        <f t="shared" ref="H27:H33" si="27">BF27</f>
        <v>0</v>
      </c>
      <c r="I27" s="243">
        <f t="shared" ref="I27:I33" si="28">BR27</f>
        <v>0</v>
      </c>
      <c r="J27" s="238"/>
      <c r="K27" s="117" cm="1">
        <f t="array" ref="K27">SUMPRODUCT(    (CapexCategory=$B20)*  (K$3&gt;=CapexMonth) *(K$3&lt;=SalOff) * CapexAmount)</f>
        <v>0</v>
      </c>
      <c r="L27" s="117" cm="1">
        <f t="array" ref="L27">SUMPRODUCT(    (CapexCategory=$B20)*  (L$3&gt;=CapexMonth) *(L$3&lt;=SalOff) * CapexAmount)</f>
        <v>0</v>
      </c>
      <c r="M27" s="117" cm="1">
        <f t="array" ref="M27">SUMPRODUCT(    (CapexCategory=$B20)*  (M$3&gt;=CapexMonth) *(M$3&lt;=SalOff) * CapexAmount)</f>
        <v>0</v>
      </c>
      <c r="N27" s="117" cm="1">
        <f t="array" ref="N27">SUMPRODUCT(    (CapexCategory=$B20)*  (N$3&gt;=CapexMonth) *(N$3&lt;=SalOff) * CapexAmount)</f>
        <v>250</v>
      </c>
      <c r="O27" s="117" cm="1">
        <f t="array" ref="O27">SUMPRODUCT(    (CapexCategory=$B20)*  (O$3&gt;=CapexMonth) *(O$3&lt;=SalOff) * CapexAmount)</f>
        <v>250</v>
      </c>
      <c r="P27" s="117" cm="1">
        <f t="array" ref="P27">SUMPRODUCT(    (CapexCategory=$B20)*  (P$3&gt;=CapexMonth) *(P$3&lt;=SalOff) * CapexAmount)</f>
        <v>250</v>
      </c>
      <c r="Q27" s="117" cm="1">
        <f t="array" ref="Q27">SUMPRODUCT(    (CapexCategory=$B20)*  (Q$3&gt;=CapexMonth) *(Q$3&lt;=SalOff) * CapexAmount)</f>
        <v>250</v>
      </c>
      <c r="R27" s="117" cm="1">
        <f t="array" ref="R27">SUMPRODUCT(    (CapexCategory=$B20)*  (R$3&gt;=CapexMonth) *(R$3&lt;=SalOff) * CapexAmount)</f>
        <v>250</v>
      </c>
      <c r="S27" s="117" cm="1">
        <f t="array" ref="S27">SUMPRODUCT(    (CapexCategory=$B20)*  (S$3&gt;=CapexMonth) *(S$3&lt;=SalOff) * CapexAmount)</f>
        <v>250</v>
      </c>
      <c r="T27" s="117" cm="1">
        <f t="array" ref="T27">SUMPRODUCT(    (CapexCategory=$B20)*  (T$3&gt;=CapexMonth) *(T$3&lt;=SalOff) * CapexAmount)</f>
        <v>250</v>
      </c>
      <c r="U27" s="117" cm="1">
        <f t="array" ref="U27">SUMPRODUCT(    (CapexCategory=$B20)*  (U$3&gt;=CapexMonth) *(U$3&lt;=SalOff) * CapexAmount)</f>
        <v>250</v>
      </c>
      <c r="V27" s="243" cm="1">
        <f t="array" ref="V27">SUMPRODUCT(    (CapexCategory=$B20)*  (V$3&gt;=CapexMonth) *(V$3&lt;=SalOff) * CapexAmount)</f>
        <v>250</v>
      </c>
      <c r="W27" s="117" cm="1">
        <f t="array" ref="W27">SUMPRODUCT(    (CapexCategory=$B20)*  (W$3&gt;=CapexMonth) *(W$3&lt;=SalOff) * CapexAmount)</f>
        <v>250</v>
      </c>
      <c r="X27" s="117" cm="1">
        <f t="array" ref="X27">SUMPRODUCT(    (CapexCategory=$B20)*  (X$3&gt;=CapexMonth) *(X$3&lt;=SalOff) * CapexAmount)</f>
        <v>250</v>
      </c>
      <c r="Y27" s="117" cm="1">
        <f t="array" ref="Y27">SUMPRODUCT(    (CapexCategory=$B20)*  (Y$3&gt;=CapexMonth) *(Y$3&lt;=SalOff) * CapexAmount)</f>
        <v>250</v>
      </c>
      <c r="Z27" s="117" cm="1">
        <f t="array" ref="Z27">SUMPRODUCT(    (CapexCategory=$B20)*  (Z$3&gt;=CapexMonth) *(Z$3&lt;=SalOff) * CapexAmount)</f>
        <v>250</v>
      </c>
      <c r="AA27" s="117" cm="1">
        <f t="array" ref="AA27">SUMPRODUCT(    (CapexCategory=$B20)*  (AA$3&gt;=CapexMonth) *(AA$3&lt;=SalOff) * CapexAmount)</f>
        <v>250</v>
      </c>
      <c r="AB27" s="117" cm="1">
        <f t="array" ref="AB27">SUMPRODUCT(    (CapexCategory=$B20)*  (AB$3&gt;=CapexMonth) *(AB$3&lt;=SalOff) * CapexAmount)</f>
        <v>250</v>
      </c>
      <c r="AC27" s="117" cm="1">
        <f t="array" ref="AC27">SUMPRODUCT(    (CapexCategory=$B20)*  (AC$3&gt;=CapexMonth) *(AC$3&lt;=SalOff) * CapexAmount)</f>
        <v>250</v>
      </c>
      <c r="AD27" s="117" cm="1">
        <f t="array" ref="AD27">SUMPRODUCT(    (CapexCategory=$B20)*  (AD$3&gt;=CapexMonth) *(AD$3&lt;=SalOff) * CapexAmount)</f>
        <v>250</v>
      </c>
      <c r="AE27" s="117" cm="1">
        <f t="array" ref="AE27">SUMPRODUCT(    (CapexCategory=$B20)*  (AE$3&gt;=CapexMonth) *(AE$3&lt;=SalOff) * CapexAmount)</f>
        <v>0</v>
      </c>
      <c r="AF27" s="117" cm="1">
        <f t="array" ref="AF27">SUMPRODUCT(    (CapexCategory=$B20)*  (AF$3&gt;=CapexMonth) *(AF$3&lt;=SalOff) * CapexAmount)</f>
        <v>0</v>
      </c>
      <c r="AG27" s="117" cm="1">
        <f t="array" ref="AG27">SUMPRODUCT(    (CapexCategory=$B20)*  (AG$3&gt;=CapexMonth) *(AG$3&lt;=SalOff) * CapexAmount)</f>
        <v>0</v>
      </c>
      <c r="AH27" s="243" cm="1">
        <f t="array" ref="AH27">SUMPRODUCT(    (CapexCategory=$B20)*  (AH$3&gt;=CapexMonth) *(AH$3&lt;=SalOff) * CapexAmount)</f>
        <v>0</v>
      </c>
      <c r="AI27" s="117" cm="1">
        <f t="array" ref="AI27">SUMPRODUCT(    (CapexCategory=$B20)*  (AI$3&gt;=CapexMonth) *(AI$3&lt;=SalOff) * CapexAmount)</f>
        <v>0</v>
      </c>
      <c r="AJ27" s="117" cm="1">
        <f t="array" ref="AJ27">SUMPRODUCT(    (CapexCategory=$B20)*  (AJ$3&gt;=CapexMonth) *(AJ$3&lt;=SalOff) * CapexAmount)</f>
        <v>0</v>
      </c>
      <c r="AK27" s="117" cm="1">
        <f t="array" ref="AK27">SUMPRODUCT(    (CapexCategory=$B20)*  (AK$3&gt;=CapexMonth) *(AK$3&lt;=SalOff) * CapexAmount)</f>
        <v>0</v>
      </c>
      <c r="AL27" s="117" cm="1">
        <f t="array" ref="AL27">SUMPRODUCT(    (CapexCategory=$B20)*  (AL$3&gt;=CapexMonth) *(AL$3&lt;=SalOff) * CapexAmount)</f>
        <v>0</v>
      </c>
      <c r="AM27" s="117" cm="1">
        <f t="array" ref="AM27">SUMPRODUCT(    (CapexCategory=$B20)*  (AM$3&gt;=CapexMonth) *(AM$3&lt;=SalOff) * CapexAmount)</f>
        <v>0</v>
      </c>
      <c r="AN27" s="117" cm="1">
        <f t="array" ref="AN27">SUMPRODUCT(    (CapexCategory=$B20)*  (AN$3&gt;=CapexMonth) *(AN$3&lt;=SalOff) * CapexAmount)</f>
        <v>0</v>
      </c>
      <c r="AO27" s="117" cm="1">
        <f t="array" ref="AO27">SUMPRODUCT(    (CapexCategory=$B20)*  (AO$3&gt;=CapexMonth) *(AO$3&lt;=SalOff) * CapexAmount)</f>
        <v>0</v>
      </c>
      <c r="AP27" s="117" cm="1">
        <f t="array" ref="AP27">SUMPRODUCT(    (CapexCategory=$B20)*  (AP$3&gt;=CapexMonth) *(AP$3&lt;=SalOff) * CapexAmount)</f>
        <v>0</v>
      </c>
      <c r="AQ27" s="117" cm="1">
        <f t="array" ref="AQ27">SUMPRODUCT(    (CapexCategory=$B20)*  (AQ$3&gt;=CapexMonth) *(AQ$3&lt;=SalOff) * CapexAmount)</f>
        <v>0</v>
      </c>
      <c r="AR27" s="117" cm="1">
        <f t="array" ref="AR27">SUMPRODUCT(    (CapexCategory=$B20)*  (AR$3&gt;=CapexMonth) *(AR$3&lt;=SalOff) * CapexAmount)</f>
        <v>0</v>
      </c>
      <c r="AS27" s="117" cm="1">
        <f t="array" ref="AS27">SUMPRODUCT(    (CapexCategory=$B20)*  (AS$3&gt;=CapexMonth) *(AS$3&lt;=SalOff) * CapexAmount)</f>
        <v>0</v>
      </c>
      <c r="AT27" s="243" cm="1">
        <f t="array" ref="AT27">SUMPRODUCT(    (CapexCategory=$B20)*  (AT$3&gt;=CapexMonth) *(AT$3&lt;=SalOff) * CapexAmount)</f>
        <v>0</v>
      </c>
      <c r="AU27" s="117" cm="1">
        <f t="array" ref="AU27">SUMPRODUCT(    (CapexCategory=$B20)*  (AU$3&gt;=CapexMonth) *(AU$3&lt;=SalOff) * CapexAmount)</f>
        <v>0</v>
      </c>
      <c r="AV27" s="117" cm="1">
        <f t="array" ref="AV27">SUMPRODUCT(    (CapexCategory=$B20)*  (AV$3&gt;=CapexMonth) *(AV$3&lt;=SalOff) * CapexAmount)</f>
        <v>0</v>
      </c>
      <c r="AW27" s="117" cm="1">
        <f t="array" ref="AW27">SUMPRODUCT(    (CapexCategory=$B20)*  (AW$3&gt;=CapexMonth) *(AW$3&lt;=SalOff) * CapexAmount)</f>
        <v>0</v>
      </c>
      <c r="AX27" s="117" cm="1">
        <f t="array" ref="AX27">SUMPRODUCT(    (CapexCategory=$B20)*  (AX$3&gt;=CapexMonth) *(AX$3&lt;=SalOff) * CapexAmount)</f>
        <v>0</v>
      </c>
      <c r="AY27" s="117" cm="1">
        <f t="array" ref="AY27">SUMPRODUCT(    (CapexCategory=$B20)*  (AY$3&gt;=CapexMonth) *(AY$3&lt;=SalOff) * CapexAmount)</f>
        <v>0</v>
      </c>
      <c r="AZ27" s="117" cm="1">
        <f t="array" ref="AZ27">SUMPRODUCT(    (CapexCategory=$B20)*  (AZ$3&gt;=CapexMonth) *(AZ$3&lt;=SalOff) * CapexAmount)</f>
        <v>0</v>
      </c>
      <c r="BA27" s="117" cm="1">
        <f t="array" ref="BA27">SUMPRODUCT(    (CapexCategory=$B20)*  (BA$3&gt;=CapexMonth) *(BA$3&lt;=SalOff) * CapexAmount)</f>
        <v>0</v>
      </c>
      <c r="BB27" s="117" cm="1">
        <f t="array" ref="BB27">SUMPRODUCT(    (CapexCategory=$B20)*  (BB$3&gt;=CapexMonth) *(BB$3&lt;=SalOff) * CapexAmount)</f>
        <v>0</v>
      </c>
      <c r="BC27" s="117" cm="1">
        <f t="array" ref="BC27">SUMPRODUCT(    (CapexCategory=$B20)*  (BC$3&gt;=CapexMonth) *(BC$3&lt;=SalOff) * CapexAmount)</f>
        <v>0</v>
      </c>
      <c r="BD27" s="117" cm="1">
        <f t="array" ref="BD27">SUMPRODUCT(    (CapexCategory=$B20)*  (BD$3&gt;=CapexMonth) *(BD$3&lt;=SalOff) * CapexAmount)</f>
        <v>0</v>
      </c>
      <c r="BE27" s="117" cm="1">
        <f t="array" ref="BE27">SUMPRODUCT(    (CapexCategory=$B20)*  (BE$3&gt;=CapexMonth) *(BE$3&lt;=SalOff) * CapexAmount)</f>
        <v>0</v>
      </c>
      <c r="BF27" s="243" cm="1">
        <f t="array" ref="BF27">SUMPRODUCT(    (CapexCategory=$B20)*  (BF$3&gt;=CapexMonth) *(BF$3&lt;=SalOff) * CapexAmount)</f>
        <v>0</v>
      </c>
      <c r="BG27" s="117" cm="1">
        <f t="array" ref="BG27">SUMPRODUCT(    (CapexCategory=$B20)*  (BG$3&gt;=CapexMonth) *(BG$3&lt;=SalOff) * CapexAmount)</f>
        <v>0</v>
      </c>
      <c r="BH27" s="117" cm="1">
        <f t="array" ref="BH27">SUMPRODUCT(    (CapexCategory=$B20)*  (BH$3&gt;=CapexMonth) *(BH$3&lt;=SalOff) * CapexAmount)</f>
        <v>0</v>
      </c>
      <c r="BI27" s="117" cm="1">
        <f t="array" ref="BI27">SUMPRODUCT(    (CapexCategory=$B20)*  (BI$3&gt;=CapexMonth) *(BI$3&lt;=SalOff) * CapexAmount)</f>
        <v>0</v>
      </c>
      <c r="BJ27" s="117" cm="1">
        <f t="array" ref="BJ27">SUMPRODUCT(    (CapexCategory=$B20)*  (BJ$3&gt;=CapexMonth) *(BJ$3&lt;=SalOff) * CapexAmount)</f>
        <v>0</v>
      </c>
      <c r="BK27" s="117" cm="1">
        <f t="array" ref="BK27">SUMPRODUCT(    (CapexCategory=$B20)*  (BK$3&gt;=CapexMonth) *(BK$3&lt;=SalOff) * CapexAmount)</f>
        <v>0</v>
      </c>
      <c r="BL27" s="117" cm="1">
        <f t="array" ref="BL27">SUMPRODUCT(    (CapexCategory=$B20)*  (BL$3&gt;=CapexMonth) *(BL$3&lt;=SalOff) * CapexAmount)</f>
        <v>0</v>
      </c>
      <c r="BM27" s="117" cm="1">
        <f t="array" ref="BM27">SUMPRODUCT(    (CapexCategory=$B20)*  (BM$3&gt;=CapexMonth) *(BM$3&lt;=SalOff) * CapexAmount)</f>
        <v>0</v>
      </c>
      <c r="BN27" s="117" cm="1">
        <f t="array" ref="BN27">SUMPRODUCT(    (CapexCategory=$B20)*  (BN$3&gt;=CapexMonth) *(BN$3&lt;=SalOff) * CapexAmount)</f>
        <v>0</v>
      </c>
      <c r="BO27" s="117" cm="1">
        <f t="array" ref="BO27">SUMPRODUCT(    (CapexCategory=$B20)*  (BO$3&gt;=CapexMonth) *(BO$3&lt;=SalOff) * CapexAmount)</f>
        <v>0</v>
      </c>
      <c r="BP27" s="117" cm="1">
        <f t="array" ref="BP27">SUMPRODUCT(    (CapexCategory=$B20)*  (BP$3&gt;=CapexMonth) *(BP$3&lt;=SalOff) * CapexAmount)</f>
        <v>0</v>
      </c>
      <c r="BQ27" s="117" cm="1">
        <f t="array" ref="BQ27">SUMPRODUCT(    (CapexCategory=$B20)*  (BQ$3&gt;=CapexMonth) *(BQ$3&lt;=SalOff) * CapexAmount)</f>
        <v>0</v>
      </c>
      <c r="BR27" s="243" cm="1">
        <f t="array" ref="BR27">SUMPRODUCT(    (CapexCategory=$B20)*  (BR$3&gt;=CapexMonth) *(BR$3&lt;=SalOff) * CapexAmount)</f>
        <v>0</v>
      </c>
    </row>
    <row r="28" spans="1:70" hidden="1" x14ac:dyDescent="0.3">
      <c r="A28" s="2"/>
      <c r="B28" s="159" t="s">
        <v>51</v>
      </c>
      <c r="C28" s="185"/>
      <c r="E28" s="243">
        <f t="shared" si="24"/>
        <v>0</v>
      </c>
      <c r="F28" s="243">
        <f t="shared" si="25"/>
        <v>0</v>
      </c>
      <c r="G28" s="243">
        <f t="shared" si="26"/>
        <v>0</v>
      </c>
      <c r="H28" s="243">
        <f t="shared" si="27"/>
        <v>0</v>
      </c>
      <c r="I28" s="243">
        <f t="shared" si="28"/>
        <v>0</v>
      </c>
      <c r="J28" s="238"/>
      <c r="K28" s="117" cm="1">
        <f t="array" ref="K28">SUMPRODUCT(    (CapexCategory=$B21)*  (K$3&gt;=CapexMonth) *(K$3&lt;=SalOff) * CapexAmount)</f>
        <v>40</v>
      </c>
      <c r="L28" s="117" cm="1">
        <f t="array" ref="L28">SUMPRODUCT(    (CapexCategory=$B21)*  (L$3&gt;=CapexMonth) *(L$3&lt;=SalOff) * CapexAmount)</f>
        <v>40</v>
      </c>
      <c r="M28" s="117" cm="1">
        <f t="array" ref="M28">SUMPRODUCT(    (CapexCategory=$B21)*  (M$3&gt;=CapexMonth) *(M$3&lt;=SalOff) * CapexAmount)</f>
        <v>40</v>
      </c>
      <c r="N28" s="117" cm="1">
        <f t="array" ref="N28">SUMPRODUCT(    (CapexCategory=$B21)*  (N$3&gt;=CapexMonth) *(N$3&lt;=SalOff) * CapexAmount)</f>
        <v>40</v>
      </c>
      <c r="O28" s="117" cm="1">
        <f t="array" ref="O28">SUMPRODUCT(    (CapexCategory=$B21)*  (O$3&gt;=CapexMonth) *(O$3&lt;=SalOff) * CapexAmount)</f>
        <v>40</v>
      </c>
      <c r="P28" s="117" cm="1">
        <f t="array" ref="P28">SUMPRODUCT(    (CapexCategory=$B21)*  (P$3&gt;=CapexMonth) *(P$3&lt;=SalOff) * CapexAmount)</f>
        <v>40</v>
      </c>
      <c r="Q28" s="117" cm="1">
        <f t="array" ref="Q28">SUMPRODUCT(    (CapexCategory=$B21)*  (Q$3&gt;=CapexMonth) *(Q$3&lt;=SalOff) * CapexAmount)</f>
        <v>40</v>
      </c>
      <c r="R28" s="117" cm="1">
        <f t="array" ref="R28">SUMPRODUCT(    (CapexCategory=$B21)*  (R$3&gt;=CapexMonth) *(R$3&lt;=SalOff) * CapexAmount)</f>
        <v>40</v>
      </c>
      <c r="S28" s="117" cm="1">
        <f t="array" ref="S28">SUMPRODUCT(    (CapexCategory=$B21)*  (S$3&gt;=CapexMonth) *(S$3&lt;=SalOff) * CapexAmount)</f>
        <v>40</v>
      </c>
      <c r="T28" s="117" cm="1">
        <f t="array" ref="T28">SUMPRODUCT(    (CapexCategory=$B21)*  (T$3&gt;=CapexMonth) *(T$3&lt;=SalOff) * CapexAmount)</f>
        <v>40</v>
      </c>
      <c r="U28" s="117" cm="1">
        <f t="array" ref="U28">SUMPRODUCT(    (CapexCategory=$B21)*  (U$3&gt;=CapexMonth) *(U$3&lt;=SalOff) * CapexAmount)</f>
        <v>0</v>
      </c>
      <c r="V28" s="243" cm="1">
        <f t="array" ref="V28">SUMPRODUCT(    (CapexCategory=$B21)*  (V$3&gt;=CapexMonth) *(V$3&lt;=SalOff) * CapexAmount)</f>
        <v>0</v>
      </c>
      <c r="W28" s="117" cm="1">
        <f t="array" ref="W28">SUMPRODUCT(    (CapexCategory=$B21)*  (W$3&gt;=CapexMonth) *(W$3&lt;=SalOff) * CapexAmount)</f>
        <v>0</v>
      </c>
      <c r="X28" s="117" cm="1">
        <f t="array" ref="X28">SUMPRODUCT(    (CapexCategory=$B21)*  (X$3&gt;=CapexMonth) *(X$3&lt;=SalOff) * CapexAmount)</f>
        <v>0</v>
      </c>
      <c r="Y28" s="117" cm="1">
        <f t="array" ref="Y28">SUMPRODUCT(    (CapexCategory=$B21)*  (Y$3&gt;=CapexMonth) *(Y$3&lt;=SalOff) * CapexAmount)</f>
        <v>0</v>
      </c>
      <c r="Z28" s="117" cm="1">
        <f t="array" ref="Z28">SUMPRODUCT(    (CapexCategory=$B21)*  (Z$3&gt;=CapexMonth) *(Z$3&lt;=SalOff) * CapexAmount)</f>
        <v>0</v>
      </c>
      <c r="AA28" s="117" cm="1">
        <f t="array" ref="AA28">SUMPRODUCT(    (CapexCategory=$B21)*  (AA$3&gt;=CapexMonth) *(AA$3&lt;=SalOff) * CapexAmount)</f>
        <v>0</v>
      </c>
      <c r="AB28" s="117" cm="1">
        <f t="array" ref="AB28">SUMPRODUCT(    (CapexCategory=$B21)*  (AB$3&gt;=CapexMonth) *(AB$3&lt;=SalOff) * CapexAmount)</f>
        <v>0</v>
      </c>
      <c r="AC28" s="117" cm="1">
        <f t="array" ref="AC28">SUMPRODUCT(    (CapexCategory=$B21)*  (AC$3&gt;=CapexMonth) *(AC$3&lt;=SalOff) * CapexAmount)</f>
        <v>0</v>
      </c>
      <c r="AD28" s="117" cm="1">
        <f t="array" ref="AD28">SUMPRODUCT(    (CapexCategory=$B21)*  (AD$3&gt;=CapexMonth) *(AD$3&lt;=SalOff) * CapexAmount)</f>
        <v>0</v>
      </c>
      <c r="AE28" s="117" cm="1">
        <f t="array" ref="AE28">SUMPRODUCT(    (CapexCategory=$B21)*  (AE$3&gt;=CapexMonth) *(AE$3&lt;=SalOff) * CapexAmount)</f>
        <v>0</v>
      </c>
      <c r="AF28" s="117" cm="1">
        <f t="array" ref="AF28">SUMPRODUCT(    (CapexCategory=$B21)*  (AF$3&gt;=CapexMonth) *(AF$3&lt;=SalOff) * CapexAmount)</f>
        <v>0</v>
      </c>
      <c r="AG28" s="117" cm="1">
        <f t="array" ref="AG28">SUMPRODUCT(    (CapexCategory=$B21)*  (AG$3&gt;=CapexMonth) *(AG$3&lt;=SalOff) * CapexAmount)</f>
        <v>0</v>
      </c>
      <c r="AH28" s="243" cm="1">
        <f t="array" ref="AH28">SUMPRODUCT(    (CapexCategory=$B21)*  (AH$3&gt;=CapexMonth) *(AH$3&lt;=SalOff) * CapexAmount)</f>
        <v>0</v>
      </c>
      <c r="AI28" s="117" cm="1">
        <f t="array" ref="AI28">SUMPRODUCT(    (CapexCategory=$B21)*  (AI$3&gt;=CapexMonth) *(AI$3&lt;=SalOff) * CapexAmount)</f>
        <v>0</v>
      </c>
      <c r="AJ28" s="117" cm="1">
        <f t="array" ref="AJ28">SUMPRODUCT(    (CapexCategory=$B21)*  (AJ$3&gt;=CapexMonth) *(AJ$3&lt;=SalOff) * CapexAmount)</f>
        <v>0</v>
      </c>
      <c r="AK28" s="117" cm="1">
        <f t="array" ref="AK28">SUMPRODUCT(    (CapexCategory=$B21)*  (AK$3&gt;=CapexMonth) *(AK$3&lt;=SalOff) * CapexAmount)</f>
        <v>0</v>
      </c>
      <c r="AL28" s="117" cm="1">
        <f t="array" ref="AL28">SUMPRODUCT(    (CapexCategory=$B21)*  (AL$3&gt;=CapexMonth) *(AL$3&lt;=SalOff) * CapexAmount)</f>
        <v>0</v>
      </c>
      <c r="AM28" s="117" cm="1">
        <f t="array" ref="AM28">SUMPRODUCT(    (CapexCategory=$B21)*  (AM$3&gt;=CapexMonth) *(AM$3&lt;=SalOff) * CapexAmount)</f>
        <v>0</v>
      </c>
      <c r="AN28" s="117" cm="1">
        <f t="array" ref="AN28">SUMPRODUCT(    (CapexCategory=$B21)*  (AN$3&gt;=CapexMonth) *(AN$3&lt;=SalOff) * CapexAmount)</f>
        <v>0</v>
      </c>
      <c r="AO28" s="117" cm="1">
        <f t="array" ref="AO28">SUMPRODUCT(    (CapexCategory=$B21)*  (AO$3&gt;=CapexMonth) *(AO$3&lt;=SalOff) * CapexAmount)</f>
        <v>0</v>
      </c>
      <c r="AP28" s="117" cm="1">
        <f t="array" ref="AP28">SUMPRODUCT(    (CapexCategory=$B21)*  (AP$3&gt;=CapexMonth) *(AP$3&lt;=SalOff) * CapexAmount)</f>
        <v>0</v>
      </c>
      <c r="AQ28" s="117" cm="1">
        <f t="array" ref="AQ28">SUMPRODUCT(    (CapexCategory=$B21)*  (AQ$3&gt;=CapexMonth) *(AQ$3&lt;=SalOff) * CapexAmount)</f>
        <v>0</v>
      </c>
      <c r="AR28" s="117" cm="1">
        <f t="array" ref="AR28">SUMPRODUCT(    (CapexCategory=$B21)*  (AR$3&gt;=CapexMonth) *(AR$3&lt;=SalOff) * CapexAmount)</f>
        <v>0</v>
      </c>
      <c r="AS28" s="117" cm="1">
        <f t="array" ref="AS28">SUMPRODUCT(    (CapexCategory=$B21)*  (AS$3&gt;=CapexMonth) *(AS$3&lt;=SalOff) * CapexAmount)</f>
        <v>0</v>
      </c>
      <c r="AT28" s="243" cm="1">
        <f t="array" ref="AT28">SUMPRODUCT(    (CapexCategory=$B21)*  (AT$3&gt;=CapexMonth) *(AT$3&lt;=SalOff) * CapexAmount)</f>
        <v>0</v>
      </c>
      <c r="AU28" s="117" cm="1">
        <f t="array" ref="AU28">SUMPRODUCT(    (CapexCategory=$B21)*  (AU$3&gt;=CapexMonth) *(AU$3&lt;=SalOff) * CapexAmount)</f>
        <v>0</v>
      </c>
      <c r="AV28" s="117" cm="1">
        <f t="array" ref="AV28">SUMPRODUCT(    (CapexCategory=$B21)*  (AV$3&gt;=CapexMonth) *(AV$3&lt;=SalOff) * CapexAmount)</f>
        <v>0</v>
      </c>
      <c r="AW28" s="117" cm="1">
        <f t="array" ref="AW28">SUMPRODUCT(    (CapexCategory=$B21)*  (AW$3&gt;=CapexMonth) *(AW$3&lt;=SalOff) * CapexAmount)</f>
        <v>0</v>
      </c>
      <c r="AX28" s="117" cm="1">
        <f t="array" ref="AX28">SUMPRODUCT(    (CapexCategory=$B21)*  (AX$3&gt;=CapexMonth) *(AX$3&lt;=SalOff) * CapexAmount)</f>
        <v>0</v>
      </c>
      <c r="AY28" s="117" cm="1">
        <f t="array" ref="AY28">SUMPRODUCT(    (CapexCategory=$B21)*  (AY$3&gt;=CapexMonth) *(AY$3&lt;=SalOff) * CapexAmount)</f>
        <v>0</v>
      </c>
      <c r="AZ28" s="117" cm="1">
        <f t="array" ref="AZ28">SUMPRODUCT(    (CapexCategory=$B21)*  (AZ$3&gt;=CapexMonth) *(AZ$3&lt;=SalOff) * CapexAmount)</f>
        <v>0</v>
      </c>
      <c r="BA28" s="117" cm="1">
        <f t="array" ref="BA28">SUMPRODUCT(    (CapexCategory=$B21)*  (BA$3&gt;=CapexMonth) *(BA$3&lt;=SalOff) * CapexAmount)</f>
        <v>0</v>
      </c>
      <c r="BB28" s="117" cm="1">
        <f t="array" ref="BB28">SUMPRODUCT(    (CapexCategory=$B21)*  (BB$3&gt;=CapexMonth) *(BB$3&lt;=SalOff) * CapexAmount)</f>
        <v>0</v>
      </c>
      <c r="BC28" s="117" cm="1">
        <f t="array" ref="BC28">SUMPRODUCT(    (CapexCategory=$B21)*  (BC$3&gt;=CapexMonth) *(BC$3&lt;=SalOff) * CapexAmount)</f>
        <v>0</v>
      </c>
      <c r="BD28" s="117" cm="1">
        <f t="array" ref="BD28">SUMPRODUCT(    (CapexCategory=$B21)*  (BD$3&gt;=CapexMonth) *(BD$3&lt;=SalOff) * CapexAmount)</f>
        <v>0</v>
      </c>
      <c r="BE28" s="117" cm="1">
        <f t="array" ref="BE28">SUMPRODUCT(    (CapexCategory=$B21)*  (BE$3&gt;=CapexMonth) *(BE$3&lt;=SalOff) * CapexAmount)</f>
        <v>0</v>
      </c>
      <c r="BF28" s="243" cm="1">
        <f t="array" ref="BF28">SUMPRODUCT(    (CapexCategory=$B21)*  (BF$3&gt;=CapexMonth) *(BF$3&lt;=SalOff) * CapexAmount)</f>
        <v>0</v>
      </c>
      <c r="BG28" s="117" cm="1">
        <f t="array" ref="BG28">SUMPRODUCT(    (CapexCategory=$B21)*  (BG$3&gt;=CapexMonth) *(BG$3&lt;=SalOff) * CapexAmount)</f>
        <v>0</v>
      </c>
      <c r="BH28" s="117" cm="1">
        <f t="array" ref="BH28">SUMPRODUCT(    (CapexCategory=$B21)*  (BH$3&gt;=CapexMonth) *(BH$3&lt;=SalOff) * CapexAmount)</f>
        <v>0</v>
      </c>
      <c r="BI28" s="117" cm="1">
        <f t="array" ref="BI28">SUMPRODUCT(    (CapexCategory=$B21)*  (BI$3&gt;=CapexMonth) *(BI$3&lt;=SalOff) * CapexAmount)</f>
        <v>0</v>
      </c>
      <c r="BJ28" s="117" cm="1">
        <f t="array" ref="BJ28">SUMPRODUCT(    (CapexCategory=$B21)*  (BJ$3&gt;=CapexMonth) *(BJ$3&lt;=SalOff) * CapexAmount)</f>
        <v>0</v>
      </c>
      <c r="BK28" s="117" cm="1">
        <f t="array" ref="BK28">SUMPRODUCT(    (CapexCategory=$B21)*  (BK$3&gt;=CapexMonth) *(BK$3&lt;=SalOff) * CapexAmount)</f>
        <v>0</v>
      </c>
      <c r="BL28" s="117" cm="1">
        <f t="array" ref="BL28">SUMPRODUCT(    (CapexCategory=$B21)*  (BL$3&gt;=CapexMonth) *(BL$3&lt;=SalOff) * CapexAmount)</f>
        <v>0</v>
      </c>
      <c r="BM28" s="117" cm="1">
        <f t="array" ref="BM28">SUMPRODUCT(    (CapexCategory=$B21)*  (BM$3&gt;=CapexMonth) *(BM$3&lt;=SalOff) * CapexAmount)</f>
        <v>0</v>
      </c>
      <c r="BN28" s="117" cm="1">
        <f t="array" ref="BN28">SUMPRODUCT(    (CapexCategory=$B21)*  (BN$3&gt;=CapexMonth) *(BN$3&lt;=SalOff) * CapexAmount)</f>
        <v>0</v>
      </c>
      <c r="BO28" s="117" cm="1">
        <f t="array" ref="BO28">SUMPRODUCT(    (CapexCategory=$B21)*  (BO$3&gt;=CapexMonth) *(BO$3&lt;=SalOff) * CapexAmount)</f>
        <v>0</v>
      </c>
      <c r="BP28" s="117" cm="1">
        <f t="array" ref="BP28">SUMPRODUCT(    (CapexCategory=$B21)*  (BP$3&gt;=CapexMonth) *(BP$3&lt;=SalOff) * CapexAmount)</f>
        <v>0</v>
      </c>
      <c r="BQ28" s="117" cm="1">
        <f t="array" ref="BQ28">SUMPRODUCT(    (CapexCategory=$B21)*  (BQ$3&gt;=CapexMonth) *(BQ$3&lt;=SalOff) * CapexAmount)</f>
        <v>0</v>
      </c>
      <c r="BR28" s="243" cm="1">
        <f t="array" ref="BR28">SUMPRODUCT(    (CapexCategory=$B21)*  (BR$3&gt;=CapexMonth) *(BR$3&lt;=SalOff) * CapexAmount)</f>
        <v>0</v>
      </c>
    </row>
    <row r="29" spans="1:70" hidden="1" x14ac:dyDescent="0.3">
      <c r="A29" s="14"/>
      <c r="B29" s="159" t="s">
        <v>56</v>
      </c>
      <c r="C29" s="185"/>
      <c r="E29" s="243">
        <f t="shared" si="24"/>
        <v>0</v>
      </c>
      <c r="F29" s="243">
        <f t="shared" si="25"/>
        <v>0</v>
      </c>
      <c r="G29" s="243">
        <f t="shared" si="26"/>
        <v>0</v>
      </c>
      <c r="H29" s="243">
        <f t="shared" si="27"/>
        <v>0</v>
      </c>
      <c r="I29" s="243">
        <f t="shared" si="28"/>
        <v>0</v>
      </c>
      <c r="J29" s="238"/>
      <c r="K29" s="117" cm="1">
        <f t="array" ref="K29">SUMPRODUCT(    (CapexCategory=$B22)*  (K$3&gt;=CapexMonth) *(K$3&lt;=SalOff) * CapexAmount)</f>
        <v>0</v>
      </c>
      <c r="L29" s="117" cm="1">
        <f t="array" ref="L29">SUMPRODUCT(    (CapexCategory=$B22)*  (L$3&gt;=CapexMonth) *(L$3&lt;=SalOff) * CapexAmount)</f>
        <v>0</v>
      </c>
      <c r="M29" s="117" cm="1">
        <f t="array" ref="M29">SUMPRODUCT(    (CapexCategory=$B22)*  (M$3&gt;=CapexMonth) *(M$3&lt;=SalOff) * CapexAmount)</f>
        <v>0</v>
      </c>
      <c r="N29" s="117" cm="1">
        <f t="array" ref="N29">SUMPRODUCT(    (CapexCategory=$B22)*  (N$3&gt;=CapexMonth) *(N$3&lt;=SalOff) * CapexAmount)</f>
        <v>0</v>
      </c>
      <c r="O29" s="117" cm="1">
        <f t="array" ref="O29">SUMPRODUCT(    (CapexCategory=$B22)*  (O$3&gt;=CapexMonth) *(O$3&lt;=SalOff) * CapexAmount)</f>
        <v>0</v>
      </c>
      <c r="P29" s="117" cm="1">
        <f t="array" ref="P29">SUMPRODUCT(    (CapexCategory=$B22)*  (P$3&gt;=CapexMonth) *(P$3&lt;=SalOff) * CapexAmount)</f>
        <v>0</v>
      </c>
      <c r="Q29" s="117" cm="1">
        <f t="array" ref="Q29">SUMPRODUCT(    (CapexCategory=$B22)*  (Q$3&gt;=CapexMonth) *(Q$3&lt;=SalOff) * CapexAmount)</f>
        <v>0</v>
      </c>
      <c r="R29" s="117" cm="1">
        <f t="array" ref="R29">SUMPRODUCT(    (CapexCategory=$B22)*  (R$3&gt;=CapexMonth) *(R$3&lt;=SalOff) * CapexAmount)</f>
        <v>50</v>
      </c>
      <c r="S29" s="117" cm="1">
        <f t="array" ref="S29">SUMPRODUCT(    (CapexCategory=$B22)*  (S$3&gt;=CapexMonth) *(S$3&lt;=SalOff) * CapexAmount)</f>
        <v>50</v>
      </c>
      <c r="T29" s="117" cm="1">
        <f t="array" ref="T29">SUMPRODUCT(    (CapexCategory=$B22)*  (T$3&gt;=CapexMonth) *(T$3&lt;=SalOff) * CapexAmount)</f>
        <v>50</v>
      </c>
      <c r="U29" s="117" cm="1">
        <f t="array" ref="U29">SUMPRODUCT(    (CapexCategory=$B22)*  (U$3&gt;=CapexMonth) *(U$3&lt;=SalOff) * CapexAmount)</f>
        <v>0</v>
      </c>
      <c r="V29" s="243" cm="1">
        <f t="array" ref="V29">SUMPRODUCT(    (CapexCategory=$B22)*  (V$3&gt;=CapexMonth) *(V$3&lt;=SalOff) * CapexAmount)</f>
        <v>0</v>
      </c>
      <c r="W29" s="117" cm="1">
        <f t="array" ref="W29">SUMPRODUCT(    (CapexCategory=$B22)*  (W$3&gt;=CapexMonth) *(W$3&lt;=SalOff) * CapexAmount)</f>
        <v>0</v>
      </c>
      <c r="X29" s="117" cm="1">
        <f t="array" ref="X29">SUMPRODUCT(    (CapexCategory=$B22)*  (X$3&gt;=CapexMonth) *(X$3&lt;=SalOff) * CapexAmount)</f>
        <v>0</v>
      </c>
      <c r="Y29" s="117" cm="1">
        <f t="array" ref="Y29">SUMPRODUCT(    (CapexCategory=$B22)*  (Y$3&gt;=CapexMonth) *(Y$3&lt;=SalOff) * CapexAmount)</f>
        <v>0</v>
      </c>
      <c r="Z29" s="117" cm="1">
        <f t="array" ref="Z29">SUMPRODUCT(    (CapexCategory=$B22)*  (Z$3&gt;=CapexMonth) *(Z$3&lt;=SalOff) * CapexAmount)</f>
        <v>0</v>
      </c>
      <c r="AA29" s="117" cm="1">
        <f t="array" ref="AA29">SUMPRODUCT(    (CapexCategory=$B22)*  (AA$3&gt;=CapexMonth) *(AA$3&lt;=SalOff) * CapexAmount)</f>
        <v>0</v>
      </c>
      <c r="AB29" s="117" cm="1">
        <f t="array" ref="AB29">SUMPRODUCT(    (CapexCategory=$B22)*  (AB$3&gt;=CapexMonth) *(AB$3&lt;=SalOff) * CapexAmount)</f>
        <v>0</v>
      </c>
      <c r="AC29" s="117" cm="1">
        <f t="array" ref="AC29">SUMPRODUCT(    (CapexCategory=$B22)*  (AC$3&gt;=CapexMonth) *(AC$3&lt;=SalOff) * CapexAmount)</f>
        <v>0</v>
      </c>
      <c r="AD29" s="117" cm="1">
        <f t="array" ref="AD29">SUMPRODUCT(    (CapexCategory=$B22)*  (AD$3&gt;=CapexMonth) *(AD$3&lt;=SalOff) * CapexAmount)</f>
        <v>0</v>
      </c>
      <c r="AE29" s="117" cm="1">
        <f t="array" ref="AE29">SUMPRODUCT(    (CapexCategory=$B22)*  (AE$3&gt;=CapexMonth) *(AE$3&lt;=SalOff) * CapexAmount)</f>
        <v>0</v>
      </c>
      <c r="AF29" s="117" cm="1">
        <f t="array" ref="AF29">SUMPRODUCT(    (CapexCategory=$B22)*  (AF$3&gt;=CapexMonth) *(AF$3&lt;=SalOff) * CapexAmount)</f>
        <v>0</v>
      </c>
      <c r="AG29" s="117" cm="1">
        <f t="array" ref="AG29">SUMPRODUCT(    (CapexCategory=$B22)*  (AG$3&gt;=CapexMonth) *(AG$3&lt;=SalOff) * CapexAmount)</f>
        <v>0</v>
      </c>
      <c r="AH29" s="243" cm="1">
        <f t="array" ref="AH29">SUMPRODUCT(    (CapexCategory=$B22)*  (AH$3&gt;=CapexMonth) *(AH$3&lt;=SalOff) * CapexAmount)</f>
        <v>0</v>
      </c>
      <c r="AI29" s="117" cm="1">
        <f t="array" ref="AI29">SUMPRODUCT(    (CapexCategory=$B22)*  (AI$3&gt;=CapexMonth) *(AI$3&lt;=SalOff) * CapexAmount)</f>
        <v>0</v>
      </c>
      <c r="AJ29" s="117" cm="1">
        <f t="array" ref="AJ29">SUMPRODUCT(    (CapexCategory=$B22)*  (AJ$3&gt;=CapexMonth) *(AJ$3&lt;=SalOff) * CapexAmount)</f>
        <v>0</v>
      </c>
      <c r="AK29" s="117" cm="1">
        <f t="array" ref="AK29">SUMPRODUCT(    (CapexCategory=$B22)*  (AK$3&gt;=CapexMonth) *(AK$3&lt;=SalOff) * CapexAmount)</f>
        <v>0</v>
      </c>
      <c r="AL29" s="117" cm="1">
        <f t="array" ref="AL29">SUMPRODUCT(    (CapexCategory=$B22)*  (AL$3&gt;=CapexMonth) *(AL$3&lt;=SalOff) * CapexAmount)</f>
        <v>0</v>
      </c>
      <c r="AM29" s="117" cm="1">
        <f t="array" ref="AM29">SUMPRODUCT(    (CapexCategory=$B22)*  (AM$3&gt;=CapexMonth) *(AM$3&lt;=SalOff) * CapexAmount)</f>
        <v>0</v>
      </c>
      <c r="AN29" s="117" cm="1">
        <f t="array" ref="AN29">SUMPRODUCT(    (CapexCategory=$B22)*  (AN$3&gt;=CapexMonth) *(AN$3&lt;=SalOff) * CapexAmount)</f>
        <v>0</v>
      </c>
      <c r="AO29" s="117" cm="1">
        <f t="array" ref="AO29">SUMPRODUCT(    (CapexCategory=$B22)*  (AO$3&gt;=CapexMonth) *(AO$3&lt;=SalOff) * CapexAmount)</f>
        <v>0</v>
      </c>
      <c r="AP29" s="117" cm="1">
        <f t="array" ref="AP29">SUMPRODUCT(    (CapexCategory=$B22)*  (AP$3&gt;=CapexMonth) *(AP$3&lt;=SalOff) * CapexAmount)</f>
        <v>0</v>
      </c>
      <c r="AQ29" s="117" cm="1">
        <f t="array" ref="AQ29">SUMPRODUCT(    (CapexCategory=$B22)*  (AQ$3&gt;=CapexMonth) *(AQ$3&lt;=SalOff) * CapexAmount)</f>
        <v>0</v>
      </c>
      <c r="AR29" s="117" cm="1">
        <f t="array" ref="AR29">SUMPRODUCT(    (CapexCategory=$B22)*  (AR$3&gt;=CapexMonth) *(AR$3&lt;=SalOff) * CapexAmount)</f>
        <v>0</v>
      </c>
      <c r="AS29" s="117" cm="1">
        <f t="array" ref="AS29">SUMPRODUCT(    (CapexCategory=$B22)*  (AS$3&gt;=CapexMonth) *(AS$3&lt;=SalOff) * CapexAmount)</f>
        <v>0</v>
      </c>
      <c r="AT29" s="243" cm="1">
        <f t="array" ref="AT29">SUMPRODUCT(    (CapexCategory=$B22)*  (AT$3&gt;=CapexMonth) *(AT$3&lt;=SalOff) * CapexAmount)</f>
        <v>0</v>
      </c>
      <c r="AU29" s="117" cm="1">
        <f t="array" ref="AU29">SUMPRODUCT(    (CapexCategory=$B22)*  (AU$3&gt;=CapexMonth) *(AU$3&lt;=SalOff) * CapexAmount)</f>
        <v>0</v>
      </c>
      <c r="AV29" s="117" cm="1">
        <f t="array" ref="AV29">SUMPRODUCT(    (CapexCategory=$B22)*  (AV$3&gt;=CapexMonth) *(AV$3&lt;=SalOff) * CapexAmount)</f>
        <v>0</v>
      </c>
      <c r="AW29" s="117" cm="1">
        <f t="array" ref="AW29">SUMPRODUCT(    (CapexCategory=$B22)*  (AW$3&gt;=CapexMonth) *(AW$3&lt;=SalOff) * CapexAmount)</f>
        <v>0</v>
      </c>
      <c r="AX29" s="117" cm="1">
        <f t="array" ref="AX29">SUMPRODUCT(    (CapexCategory=$B22)*  (AX$3&gt;=CapexMonth) *(AX$3&lt;=SalOff) * CapexAmount)</f>
        <v>0</v>
      </c>
      <c r="AY29" s="117" cm="1">
        <f t="array" ref="AY29">SUMPRODUCT(    (CapexCategory=$B22)*  (AY$3&gt;=CapexMonth) *(AY$3&lt;=SalOff) * CapexAmount)</f>
        <v>0</v>
      </c>
      <c r="AZ29" s="117" cm="1">
        <f t="array" ref="AZ29">SUMPRODUCT(    (CapexCategory=$B22)*  (AZ$3&gt;=CapexMonth) *(AZ$3&lt;=SalOff) * CapexAmount)</f>
        <v>0</v>
      </c>
      <c r="BA29" s="117" cm="1">
        <f t="array" ref="BA29">SUMPRODUCT(    (CapexCategory=$B22)*  (BA$3&gt;=CapexMonth) *(BA$3&lt;=SalOff) * CapexAmount)</f>
        <v>0</v>
      </c>
      <c r="BB29" s="117" cm="1">
        <f t="array" ref="BB29">SUMPRODUCT(    (CapexCategory=$B22)*  (BB$3&gt;=CapexMonth) *(BB$3&lt;=SalOff) * CapexAmount)</f>
        <v>0</v>
      </c>
      <c r="BC29" s="117" cm="1">
        <f t="array" ref="BC29">SUMPRODUCT(    (CapexCategory=$B22)*  (BC$3&gt;=CapexMonth) *(BC$3&lt;=SalOff) * CapexAmount)</f>
        <v>0</v>
      </c>
      <c r="BD29" s="117" cm="1">
        <f t="array" ref="BD29">SUMPRODUCT(    (CapexCategory=$B22)*  (BD$3&gt;=CapexMonth) *(BD$3&lt;=SalOff) * CapexAmount)</f>
        <v>0</v>
      </c>
      <c r="BE29" s="117" cm="1">
        <f t="array" ref="BE29">SUMPRODUCT(    (CapexCategory=$B22)*  (BE$3&gt;=CapexMonth) *(BE$3&lt;=SalOff) * CapexAmount)</f>
        <v>0</v>
      </c>
      <c r="BF29" s="243" cm="1">
        <f t="array" ref="BF29">SUMPRODUCT(    (CapexCategory=$B22)*  (BF$3&gt;=CapexMonth) *(BF$3&lt;=SalOff) * CapexAmount)</f>
        <v>0</v>
      </c>
      <c r="BG29" s="117" cm="1">
        <f t="array" ref="BG29">SUMPRODUCT(    (CapexCategory=$B22)*  (BG$3&gt;=CapexMonth) *(BG$3&lt;=SalOff) * CapexAmount)</f>
        <v>0</v>
      </c>
      <c r="BH29" s="117" cm="1">
        <f t="array" ref="BH29">SUMPRODUCT(    (CapexCategory=$B22)*  (BH$3&gt;=CapexMonth) *(BH$3&lt;=SalOff) * CapexAmount)</f>
        <v>0</v>
      </c>
      <c r="BI29" s="117" cm="1">
        <f t="array" ref="BI29">SUMPRODUCT(    (CapexCategory=$B22)*  (BI$3&gt;=CapexMonth) *(BI$3&lt;=SalOff) * CapexAmount)</f>
        <v>0</v>
      </c>
      <c r="BJ29" s="117" cm="1">
        <f t="array" ref="BJ29">SUMPRODUCT(    (CapexCategory=$B22)*  (BJ$3&gt;=CapexMonth) *(BJ$3&lt;=SalOff) * CapexAmount)</f>
        <v>0</v>
      </c>
      <c r="BK29" s="117" cm="1">
        <f t="array" ref="BK29">SUMPRODUCT(    (CapexCategory=$B22)*  (BK$3&gt;=CapexMonth) *(BK$3&lt;=SalOff) * CapexAmount)</f>
        <v>0</v>
      </c>
      <c r="BL29" s="117" cm="1">
        <f t="array" ref="BL29">SUMPRODUCT(    (CapexCategory=$B22)*  (BL$3&gt;=CapexMonth) *(BL$3&lt;=SalOff) * CapexAmount)</f>
        <v>0</v>
      </c>
      <c r="BM29" s="117" cm="1">
        <f t="array" ref="BM29">SUMPRODUCT(    (CapexCategory=$B22)*  (BM$3&gt;=CapexMonth) *(BM$3&lt;=SalOff) * CapexAmount)</f>
        <v>0</v>
      </c>
      <c r="BN29" s="117" cm="1">
        <f t="array" ref="BN29">SUMPRODUCT(    (CapexCategory=$B22)*  (BN$3&gt;=CapexMonth) *(BN$3&lt;=SalOff) * CapexAmount)</f>
        <v>0</v>
      </c>
      <c r="BO29" s="117" cm="1">
        <f t="array" ref="BO29">SUMPRODUCT(    (CapexCategory=$B22)*  (BO$3&gt;=CapexMonth) *(BO$3&lt;=SalOff) * CapexAmount)</f>
        <v>0</v>
      </c>
      <c r="BP29" s="117" cm="1">
        <f t="array" ref="BP29">SUMPRODUCT(    (CapexCategory=$B22)*  (BP$3&gt;=CapexMonth) *(BP$3&lt;=SalOff) * CapexAmount)</f>
        <v>0</v>
      </c>
      <c r="BQ29" s="117" cm="1">
        <f t="array" ref="BQ29">SUMPRODUCT(    (CapexCategory=$B22)*  (BQ$3&gt;=CapexMonth) *(BQ$3&lt;=SalOff) * CapexAmount)</f>
        <v>0</v>
      </c>
      <c r="BR29" s="243" cm="1">
        <f t="array" ref="BR29">SUMPRODUCT(    (CapexCategory=$B22)*  (BR$3&gt;=CapexMonth) *(BR$3&lt;=SalOff) * CapexAmount)</f>
        <v>0</v>
      </c>
    </row>
    <row r="30" spans="1:70" hidden="1" x14ac:dyDescent="0.3">
      <c r="A30" s="14"/>
      <c r="B30" s="159" t="s">
        <v>60</v>
      </c>
      <c r="C30" s="185"/>
      <c r="E30" s="243">
        <f t="shared" si="24"/>
        <v>100</v>
      </c>
      <c r="F30" s="243">
        <f t="shared" si="25"/>
        <v>0</v>
      </c>
      <c r="G30" s="243">
        <f t="shared" si="26"/>
        <v>0</v>
      </c>
      <c r="H30" s="243">
        <f t="shared" si="27"/>
        <v>0</v>
      </c>
      <c r="I30" s="243">
        <f t="shared" si="28"/>
        <v>0</v>
      </c>
      <c r="J30" s="238"/>
      <c r="K30" s="117" cm="1">
        <f t="array" ref="K30">SUMPRODUCT(    (CapexCategory=$B23)*  (K$3&gt;=CapexMonth) *(K$3&lt;=SalOff) * CapexAmount)</f>
        <v>0</v>
      </c>
      <c r="L30" s="117" cm="1">
        <f t="array" ref="L30">SUMPRODUCT(    (CapexCategory=$B23)*  (L$3&gt;=CapexMonth) *(L$3&lt;=SalOff) * CapexAmount)</f>
        <v>0</v>
      </c>
      <c r="M30" s="117" cm="1">
        <f t="array" ref="M30">SUMPRODUCT(    (CapexCategory=$B23)*  (M$3&gt;=CapexMonth) *(M$3&lt;=SalOff) * CapexAmount)</f>
        <v>0</v>
      </c>
      <c r="N30" s="117" cm="1">
        <f t="array" ref="N30">SUMPRODUCT(    (CapexCategory=$B23)*  (N$3&gt;=CapexMonth) *(N$3&lt;=SalOff) * CapexAmount)</f>
        <v>0</v>
      </c>
      <c r="O30" s="117" cm="1">
        <f t="array" ref="O30">SUMPRODUCT(    (CapexCategory=$B23)*  (O$3&gt;=CapexMonth) *(O$3&lt;=SalOff) * CapexAmount)</f>
        <v>0</v>
      </c>
      <c r="P30" s="117" cm="1">
        <f t="array" ref="P30">SUMPRODUCT(    (CapexCategory=$B23)*  (P$3&gt;=CapexMonth) *(P$3&lt;=SalOff) * CapexAmount)</f>
        <v>100</v>
      </c>
      <c r="Q30" s="117" cm="1">
        <f t="array" ref="Q30">SUMPRODUCT(    (CapexCategory=$B23)*  (Q$3&gt;=CapexMonth) *(Q$3&lt;=SalOff) * CapexAmount)</f>
        <v>100</v>
      </c>
      <c r="R30" s="117" cm="1">
        <f t="array" ref="R30">SUMPRODUCT(    (CapexCategory=$B23)*  (R$3&gt;=CapexMonth) *(R$3&lt;=SalOff) * CapexAmount)</f>
        <v>100</v>
      </c>
      <c r="S30" s="117" cm="1">
        <f t="array" ref="S30">SUMPRODUCT(    (CapexCategory=$B23)*  (S$3&gt;=CapexMonth) *(S$3&lt;=SalOff) * CapexAmount)</f>
        <v>100</v>
      </c>
      <c r="T30" s="117" cm="1">
        <f t="array" ref="T30">SUMPRODUCT(    (CapexCategory=$B23)*  (T$3&gt;=CapexMonth) *(T$3&lt;=SalOff) * CapexAmount)</f>
        <v>100</v>
      </c>
      <c r="U30" s="117" cm="1">
        <f t="array" ref="U30">SUMPRODUCT(    (CapexCategory=$B23)*  (U$3&gt;=CapexMonth) *(U$3&lt;=SalOff) * CapexAmount)</f>
        <v>100</v>
      </c>
      <c r="V30" s="243" cm="1">
        <f t="array" ref="V30">SUMPRODUCT(    (CapexCategory=$B23)*  (V$3&gt;=CapexMonth) *(V$3&lt;=SalOff) * CapexAmount)</f>
        <v>100</v>
      </c>
      <c r="W30" s="117" cm="1">
        <f t="array" ref="W30">SUMPRODUCT(    (CapexCategory=$B23)*  (W$3&gt;=CapexMonth) *(W$3&lt;=SalOff) * CapexAmount)</f>
        <v>0</v>
      </c>
      <c r="X30" s="117" cm="1">
        <f t="array" ref="X30">SUMPRODUCT(    (CapexCategory=$B23)*  (X$3&gt;=CapexMonth) *(X$3&lt;=SalOff) * CapexAmount)</f>
        <v>0</v>
      </c>
      <c r="Y30" s="117" cm="1">
        <f t="array" ref="Y30">SUMPRODUCT(    (CapexCategory=$B23)*  (Y$3&gt;=CapexMonth) *(Y$3&lt;=SalOff) * CapexAmount)</f>
        <v>0</v>
      </c>
      <c r="Z30" s="117" cm="1">
        <f t="array" ref="Z30">SUMPRODUCT(    (CapexCategory=$B23)*  (Z$3&gt;=CapexMonth) *(Z$3&lt;=SalOff) * CapexAmount)</f>
        <v>0</v>
      </c>
      <c r="AA30" s="117" cm="1">
        <f t="array" ref="AA30">SUMPRODUCT(    (CapexCategory=$B23)*  (AA$3&gt;=CapexMonth) *(AA$3&lt;=SalOff) * CapexAmount)</f>
        <v>0</v>
      </c>
      <c r="AB30" s="117" cm="1">
        <f t="array" ref="AB30">SUMPRODUCT(    (CapexCategory=$B23)*  (AB$3&gt;=CapexMonth) *(AB$3&lt;=SalOff) * CapexAmount)</f>
        <v>0</v>
      </c>
      <c r="AC30" s="117" cm="1">
        <f t="array" ref="AC30">SUMPRODUCT(    (CapexCategory=$B23)*  (AC$3&gt;=CapexMonth) *(AC$3&lt;=SalOff) * CapexAmount)</f>
        <v>0</v>
      </c>
      <c r="AD30" s="117" cm="1">
        <f t="array" ref="AD30">SUMPRODUCT(    (CapexCategory=$B23)*  (AD$3&gt;=CapexMonth) *(AD$3&lt;=SalOff) * CapexAmount)</f>
        <v>0</v>
      </c>
      <c r="AE30" s="117" cm="1">
        <f t="array" ref="AE30">SUMPRODUCT(    (CapexCategory=$B23)*  (AE$3&gt;=CapexMonth) *(AE$3&lt;=SalOff) * CapexAmount)</f>
        <v>0</v>
      </c>
      <c r="AF30" s="117" cm="1">
        <f t="array" ref="AF30">SUMPRODUCT(    (CapexCategory=$B23)*  (AF$3&gt;=CapexMonth) *(AF$3&lt;=SalOff) * CapexAmount)</f>
        <v>0</v>
      </c>
      <c r="AG30" s="117" cm="1">
        <f t="array" ref="AG30">SUMPRODUCT(    (CapexCategory=$B23)*  (AG$3&gt;=CapexMonth) *(AG$3&lt;=SalOff) * CapexAmount)</f>
        <v>0</v>
      </c>
      <c r="AH30" s="243" cm="1">
        <f t="array" ref="AH30">SUMPRODUCT(    (CapexCategory=$B23)*  (AH$3&gt;=CapexMonth) *(AH$3&lt;=SalOff) * CapexAmount)</f>
        <v>0</v>
      </c>
      <c r="AI30" s="117" cm="1">
        <f t="array" ref="AI30">SUMPRODUCT(    (CapexCategory=$B23)*  (AI$3&gt;=CapexMonth) *(AI$3&lt;=SalOff) * CapexAmount)</f>
        <v>0</v>
      </c>
      <c r="AJ30" s="117" cm="1">
        <f t="array" ref="AJ30">SUMPRODUCT(    (CapexCategory=$B23)*  (AJ$3&gt;=CapexMonth) *(AJ$3&lt;=SalOff) * CapexAmount)</f>
        <v>0</v>
      </c>
      <c r="AK30" s="117" cm="1">
        <f t="array" ref="AK30">SUMPRODUCT(    (CapexCategory=$B23)*  (AK$3&gt;=CapexMonth) *(AK$3&lt;=SalOff) * CapexAmount)</f>
        <v>0</v>
      </c>
      <c r="AL30" s="117" cm="1">
        <f t="array" ref="AL30">SUMPRODUCT(    (CapexCategory=$B23)*  (AL$3&gt;=CapexMonth) *(AL$3&lt;=SalOff) * CapexAmount)</f>
        <v>0</v>
      </c>
      <c r="AM30" s="117" cm="1">
        <f t="array" ref="AM30">SUMPRODUCT(    (CapexCategory=$B23)*  (AM$3&gt;=CapexMonth) *(AM$3&lt;=SalOff) * CapexAmount)</f>
        <v>0</v>
      </c>
      <c r="AN30" s="117" cm="1">
        <f t="array" ref="AN30">SUMPRODUCT(    (CapexCategory=$B23)*  (AN$3&gt;=CapexMonth) *(AN$3&lt;=SalOff) * CapexAmount)</f>
        <v>0</v>
      </c>
      <c r="AO30" s="117" cm="1">
        <f t="array" ref="AO30">SUMPRODUCT(    (CapexCategory=$B23)*  (AO$3&gt;=CapexMonth) *(AO$3&lt;=SalOff) * CapexAmount)</f>
        <v>0</v>
      </c>
      <c r="AP30" s="117" cm="1">
        <f t="array" ref="AP30">SUMPRODUCT(    (CapexCategory=$B23)*  (AP$3&gt;=CapexMonth) *(AP$3&lt;=SalOff) * CapexAmount)</f>
        <v>0</v>
      </c>
      <c r="AQ30" s="117" cm="1">
        <f t="array" ref="AQ30">SUMPRODUCT(    (CapexCategory=$B23)*  (AQ$3&gt;=CapexMonth) *(AQ$3&lt;=SalOff) * CapexAmount)</f>
        <v>0</v>
      </c>
      <c r="AR30" s="117" cm="1">
        <f t="array" ref="AR30">SUMPRODUCT(    (CapexCategory=$B23)*  (AR$3&gt;=CapexMonth) *(AR$3&lt;=SalOff) * CapexAmount)</f>
        <v>0</v>
      </c>
      <c r="AS30" s="117" cm="1">
        <f t="array" ref="AS30">SUMPRODUCT(    (CapexCategory=$B23)*  (AS$3&gt;=CapexMonth) *(AS$3&lt;=SalOff) * CapexAmount)</f>
        <v>0</v>
      </c>
      <c r="AT30" s="243" cm="1">
        <f t="array" ref="AT30">SUMPRODUCT(    (CapexCategory=$B23)*  (AT$3&gt;=CapexMonth) *(AT$3&lt;=SalOff) * CapexAmount)</f>
        <v>0</v>
      </c>
      <c r="AU30" s="117" cm="1">
        <f t="array" ref="AU30">SUMPRODUCT(    (CapexCategory=$B23)*  (AU$3&gt;=CapexMonth) *(AU$3&lt;=SalOff) * CapexAmount)</f>
        <v>0</v>
      </c>
      <c r="AV30" s="117" cm="1">
        <f t="array" ref="AV30">SUMPRODUCT(    (CapexCategory=$B23)*  (AV$3&gt;=CapexMonth) *(AV$3&lt;=SalOff) * CapexAmount)</f>
        <v>0</v>
      </c>
      <c r="AW30" s="117" cm="1">
        <f t="array" ref="AW30">SUMPRODUCT(    (CapexCategory=$B23)*  (AW$3&gt;=CapexMonth) *(AW$3&lt;=SalOff) * CapexAmount)</f>
        <v>0</v>
      </c>
      <c r="AX30" s="117" cm="1">
        <f t="array" ref="AX30">SUMPRODUCT(    (CapexCategory=$B23)*  (AX$3&gt;=CapexMonth) *(AX$3&lt;=SalOff) * CapexAmount)</f>
        <v>0</v>
      </c>
      <c r="AY30" s="117" cm="1">
        <f t="array" ref="AY30">SUMPRODUCT(    (CapexCategory=$B23)*  (AY$3&gt;=CapexMonth) *(AY$3&lt;=SalOff) * CapexAmount)</f>
        <v>0</v>
      </c>
      <c r="AZ30" s="117" cm="1">
        <f t="array" ref="AZ30">SUMPRODUCT(    (CapexCategory=$B23)*  (AZ$3&gt;=CapexMonth) *(AZ$3&lt;=SalOff) * CapexAmount)</f>
        <v>0</v>
      </c>
      <c r="BA30" s="117" cm="1">
        <f t="array" ref="BA30">SUMPRODUCT(    (CapexCategory=$B23)*  (BA$3&gt;=CapexMonth) *(BA$3&lt;=SalOff) * CapexAmount)</f>
        <v>0</v>
      </c>
      <c r="BB30" s="117" cm="1">
        <f t="array" ref="BB30">SUMPRODUCT(    (CapexCategory=$B23)*  (BB$3&gt;=CapexMonth) *(BB$3&lt;=SalOff) * CapexAmount)</f>
        <v>0</v>
      </c>
      <c r="BC30" s="117" cm="1">
        <f t="array" ref="BC30">SUMPRODUCT(    (CapexCategory=$B23)*  (BC$3&gt;=CapexMonth) *(BC$3&lt;=SalOff) * CapexAmount)</f>
        <v>0</v>
      </c>
      <c r="BD30" s="117" cm="1">
        <f t="array" ref="BD30">SUMPRODUCT(    (CapexCategory=$B23)*  (BD$3&gt;=CapexMonth) *(BD$3&lt;=SalOff) * CapexAmount)</f>
        <v>0</v>
      </c>
      <c r="BE30" s="117" cm="1">
        <f t="array" ref="BE30">SUMPRODUCT(    (CapexCategory=$B23)*  (BE$3&gt;=CapexMonth) *(BE$3&lt;=SalOff) * CapexAmount)</f>
        <v>0</v>
      </c>
      <c r="BF30" s="243" cm="1">
        <f t="array" ref="BF30">SUMPRODUCT(    (CapexCategory=$B23)*  (BF$3&gt;=CapexMonth) *(BF$3&lt;=SalOff) * CapexAmount)</f>
        <v>0</v>
      </c>
      <c r="BG30" s="117" cm="1">
        <f t="array" ref="BG30">SUMPRODUCT(    (CapexCategory=$B23)*  (BG$3&gt;=CapexMonth) *(BG$3&lt;=SalOff) * CapexAmount)</f>
        <v>0</v>
      </c>
      <c r="BH30" s="117" cm="1">
        <f t="array" ref="BH30">SUMPRODUCT(    (CapexCategory=$B23)*  (BH$3&gt;=CapexMonth) *(BH$3&lt;=SalOff) * CapexAmount)</f>
        <v>0</v>
      </c>
      <c r="BI30" s="117" cm="1">
        <f t="array" ref="BI30">SUMPRODUCT(    (CapexCategory=$B23)*  (BI$3&gt;=CapexMonth) *(BI$3&lt;=SalOff) * CapexAmount)</f>
        <v>0</v>
      </c>
      <c r="BJ30" s="117" cm="1">
        <f t="array" ref="BJ30">SUMPRODUCT(    (CapexCategory=$B23)*  (BJ$3&gt;=CapexMonth) *(BJ$3&lt;=SalOff) * CapexAmount)</f>
        <v>0</v>
      </c>
      <c r="BK30" s="117" cm="1">
        <f t="array" ref="BK30">SUMPRODUCT(    (CapexCategory=$B23)*  (BK$3&gt;=CapexMonth) *(BK$3&lt;=SalOff) * CapexAmount)</f>
        <v>0</v>
      </c>
      <c r="BL30" s="117" cm="1">
        <f t="array" ref="BL30">SUMPRODUCT(    (CapexCategory=$B23)*  (BL$3&gt;=CapexMonth) *(BL$3&lt;=SalOff) * CapexAmount)</f>
        <v>0</v>
      </c>
      <c r="BM30" s="117" cm="1">
        <f t="array" ref="BM30">SUMPRODUCT(    (CapexCategory=$B23)*  (BM$3&gt;=CapexMonth) *(BM$3&lt;=SalOff) * CapexAmount)</f>
        <v>0</v>
      </c>
      <c r="BN30" s="117" cm="1">
        <f t="array" ref="BN30">SUMPRODUCT(    (CapexCategory=$B23)*  (BN$3&gt;=CapexMonth) *(BN$3&lt;=SalOff) * CapexAmount)</f>
        <v>0</v>
      </c>
      <c r="BO30" s="117" cm="1">
        <f t="array" ref="BO30">SUMPRODUCT(    (CapexCategory=$B23)*  (BO$3&gt;=CapexMonth) *(BO$3&lt;=SalOff) * CapexAmount)</f>
        <v>0</v>
      </c>
      <c r="BP30" s="117" cm="1">
        <f t="array" ref="BP30">SUMPRODUCT(    (CapexCategory=$B23)*  (BP$3&gt;=CapexMonth) *(BP$3&lt;=SalOff) * CapexAmount)</f>
        <v>0</v>
      </c>
      <c r="BQ30" s="117" cm="1">
        <f t="array" ref="BQ30">SUMPRODUCT(    (CapexCategory=$B23)*  (BQ$3&gt;=CapexMonth) *(BQ$3&lt;=SalOff) * CapexAmount)</f>
        <v>0</v>
      </c>
      <c r="BR30" s="243" cm="1">
        <f t="array" ref="BR30">SUMPRODUCT(    (CapexCategory=$B23)*  (BR$3&gt;=CapexMonth) *(BR$3&lt;=SalOff) * CapexAmount)</f>
        <v>0</v>
      </c>
    </row>
    <row r="31" spans="1:70" hidden="1" x14ac:dyDescent="0.3">
      <c r="B31" s="159" t="s">
        <v>65</v>
      </c>
      <c r="C31" s="185"/>
      <c r="E31" s="243">
        <f t="shared" si="24"/>
        <v>0</v>
      </c>
      <c r="F31" s="243">
        <f t="shared" si="25"/>
        <v>0</v>
      </c>
      <c r="G31" s="243">
        <f t="shared" si="26"/>
        <v>0</v>
      </c>
      <c r="H31" s="243">
        <f t="shared" si="27"/>
        <v>0</v>
      </c>
      <c r="I31" s="243">
        <f t="shared" si="28"/>
        <v>0</v>
      </c>
      <c r="J31" s="238"/>
      <c r="K31" s="117" cm="1">
        <f t="array" ref="K31">SUMPRODUCT(    (CapexCategory=$B24)*  (K$3&gt;=CapexMonth) *(K$3&lt;=SalOff) * CapexAmount)</f>
        <v>0</v>
      </c>
      <c r="L31" s="117" cm="1">
        <f t="array" ref="L31">SUMPRODUCT(    (CapexCategory=$B24)*  (L$3&gt;=CapexMonth) *(L$3&lt;=SalOff) * CapexAmount)</f>
        <v>0</v>
      </c>
      <c r="M31" s="117" cm="1">
        <f t="array" ref="M31">SUMPRODUCT(    (CapexCategory=$B24)*  (M$3&gt;=CapexMonth) *(M$3&lt;=SalOff) * CapexAmount)</f>
        <v>0</v>
      </c>
      <c r="N31" s="117" cm="1">
        <f t="array" ref="N31">SUMPRODUCT(    (CapexCategory=$B24)*  (N$3&gt;=CapexMonth) *(N$3&lt;=SalOff) * CapexAmount)</f>
        <v>0</v>
      </c>
      <c r="O31" s="117" cm="1">
        <f t="array" ref="O31">SUMPRODUCT(    (CapexCategory=$B24)*  (O$3&gt;=CapexMonth) *(O$3&lt;=SalOff) * CapexAmount)</f>
        <v>0</v>
      </c>
      <c r="P31" s="117" cm="1">
        <f t="array" ref="P31">SUMPRODUCT(    (CapexCategory=$B24)*  (P$3&gt;=CapexMonth) *(P$3&lt;=SalOff) * CapexAmount)</f>
        <v>0</v>
      </c>
      <c r="Q31" s="117" cm="1">
        <f t="array" ref="Q31">SUMPRODUCT(    (CapexCategory=$B24)*  (Q$3&gt;=CapexMonth) *(Q$3&lt;=SalOff) * CapexAmount)</f>
        <v>0</v>
      </c>
      <c r="R31" s="117" cm="1">
        <f t="array" ref="R31">SUMPRODUCT(    (CapexCategory=$B24)*  (R$3&gt;=CapexMonth) *(R$3&lt;=SalOff) * CapexAmount)</f>
        <v>0</v>
      </c>
      <c r="S31" s="117" cm="1">
        <f t="array" ref="S31">SUMPRODUCT(    (CapexCategory=$B24)*  (S$3&gt;=CapexMonth) *(S$3&lt;=SalOff) * CapexAmount)</f>
        <v>0</v>
      </c>
      <c r="T31" s="117" cm="1">
        <f t="array" ref="T31">SUMPRODUCT(    (CapexCategory=$B24)*  (T$3&gt;=CapexMonth) *(T$3&lt;=SalOff) * CapexAmount)</f>
        <v>0</v>
      </c>
      <c r="U31" s="117" cm="1">
        <f t="array" ref="U31">SUMPRODUCT(    (CapexCategory=$B24)*  (U$3&gt;=CapexMonth) *(U$3&lt;=SalOff) * CapexAmount)</f>
        <v>0</v>
      </c>
      <c r="V31" s="243" cm="1">
        <f t="array" ref="V31">SUMPRODUCT(    (CapexCategory=$B24)*  (V$3&gt;=CapexMonth) *(V$3&lt;=SalOff) * CapexAmount)</f>
        <v>0</v>
      </c>
      <c r="W31" s="117" cm="1">
        <f t="array" ref="W31">SUMPRODUCT(    (CapexCategory=$B24)*  (W$3&gt;=CapexMonth) *(W$3&lt;=SalOff) * CapexAmount)</f>
        <v>0</v>
      </c>
      <c r="X31" s="117" cm="1">
        <f t="array" ref="X31">SUMPRODUCT(    (CapexCategory=$B24)*  (X$3&gt;=CapexMonth) *(X$3&lt;=SalOff) * CapexAmount)</f>
        <v>0</v>
      </c>
      <c r="Y31" s="117" cm="1">
        <f t="array" ref="Y31">SUMPRODUCT(    (CapexCategory=$B24)*  (Y$3&gt;=CapexMonth) *(Y$3&lt;=SalOff) * CapexAmount)</f>
        <v>0</v>
      </c>
      <c r="Z31" s="117" cm="1">
        <f t="array" ref="Z31">SUMPRODUCT(    (CapexCategory=$B24)*  (Z$3&gt;=CapexMonth) *(Z$3&lt;=SalOff) * CapexAmount)</f>
        <v>0</v>
      </c>
      <c r="AA31" s="117" cm="1">
        <f t="array" ref="AA31">SUMPRODUCT(    (CapexCategory=$B24)*  (AA$3&gt;=CapexMonth) *(AA$3&lt;=SalOff) * CapexAmount)</f>
        <v>0</v>
      </c>
      <c r="AB31" s="117" cm="1">
        <f t="array" ref="AB31">SUMPRODUCT(    (CapexCategory=$B24)*  (AB$3&gt;=CapexMonth) *(AB$3&lt;=SalOff) * CapexAmount)</f>
        <v>0</v>
      </c>
      <c r="AC31" s="117" cm="1">
        <f t="array" ref="AC31">SUMPRODUCT(    (CapexCategory=$B24)*  (AC$3&gt;=CapexMonth) *(AC$3&lt;=SalOff) * CapexAmount)</f>
        <v>0</v>
      </c>
      <c r="AD31" s="117" cm="1">
        <f t="array" ref="AD31">SUMPRODUCT(    (CapexCategory=$B24)*  (AD$3&gt;=CapexMonth) *(AD$3&lt;=SalOff) * CapexAmount)</f>
        <v>0</v>
      </c>
      <c r="AE31" s="117" cm="1">
        <f t="array" ref="AE31">SUMPRODUCT(    (CapexCategory=$B24)*  (AE$3&gt;=CapexMonth) *(AE$3&lt;=SalOff) * CapexAmount)</f>
        <v>0</v>
      </c>
      <c r="AF31" s="117" cm="1">
        <f t="array" ref="AF31">SUMPRODUCT(    (CapexCategory=$B24)*  (AF$3&gt;=CapexMonth) *(AF$3&lt;=SalOff) * CapexAmount)</f>
        <v>0</v>
      </c>
      <c r="AG31" s="117" cm="1">
        <f t="array" ref="AG31">SUMPRODUCT(    (CapexCategory=$B24)*  (AG$3&gt;=CapexMonth) *(AG$3&lt;=SalOff) * CapexAmount)</f>
        <v>0</v>
      </c>
      <c r="AH31" s="243" cm="1">
        <f t="array" ref="AH31">SUMPRODUCT(    (CapexCategory=$B24)*  (AH$3&gt;=CapexMonth) *(AH$3&lt;=SalOff) * CapexAmount)</f>
        <v>0</v>
      </c>
      <c r="AI31" s="117" cm="1">
        <f t="array" ref="AI31">SUMPRODUCT(    (CapexCategory=$B24)*  (AI$3&gt;=CapexMonth) *(AI$3&lt;=SalOff) * CapexAmount)</f>
        <v>0</v>
      </c>
      <c r="AJ31" s="117" cm="1">
        <f t="array" ref="AJ31">SUMPRODUCT(    (CapexCategory=$B24)*  (AJ$3&gt;=CapexMonth) *(AJ$3&lt;=SalOff) * CapexAmount)</f>
        <v>0</v>
      </c>
      <c r="AK31" s="117" cm="1">
        <f t="array" ref="AK31">SUMPRODUCT(    (CapexCategory=$B24)*  (AK$3&gt;=CapexMonth) *(AK$3&lt;=SalOff) * CapexAmount)</f>
        <v>0</v>
      </c>
      <c r="AL31" s="117" cm="1">
        <f t="array" ref="AL31">SUMPRODUCT(    (CapexCategory=$B24)*  (AL$3&gt;=CapexMonth) *(AL$3&lt;=SalOff) * CapexAmount)</f>
        <v>0</v>
      </c>
      <c r="AM31" s="117" cm="1">
        <f t="array" ref="AM31">SUMPRODUCT(    (CapexCategory=$B24)*  (AM$3&gt;=CapexMonth) *(AM$3&lt;=SalOff) * CapexAmount)</f>
        <v>0</v>
      </c>
      <c r="AN31" s="117" cm="1">
        <f t="array" ref="AN31">SUMPRODUCT(    (CapexCategory=$B24)*  (AN$3&gt;=CapexMonth) *(AN$3&lt;=SalOff) * CapexAmount)</f>
        <v>0</v>
      </c>
      <c r="AO31" s="117" cm="1">
        <f t="array" ref="AO31">SUMPRODUCT(    (CapexCategory=$B24)*  (AO$3&gt;=CapexMonth) *(AO$3&lt;=SalOff) * CapexAmount)</f>
        <v>0</v>
      </c>
      <c r="AP31" s="117" cm="1">
        <f t="array" ref="AP31">SUMPRODUCT(    (CapexCategory=$B24)*  (AP$3&gt;=CapexMonth) *(AP$3&lt;=SalOff) * CapexAmount)</f>
        <v>0</v>
      </c>
      <c r="AQ31" s="117" cm="1">
        <f t="array" ref="AQ31">SUMPRODUCT(    (CapexCategory=$B24)*  (AQ$3&gt;=CapexMonth) *(AQ$3&lt;=SalOff) * CapexAmount)</f>
        <v>0</v>
      </c>
      <c r="AR31" s="117" cm="1">
        <f t="array" ref="AR31">SUMPRODUCT(    (CapexCategory=$B24)*  (AR$3&gt;=CapexMonth) *(AR$3&lt;=SalOff) * CapexAmount)</f>
        <v>0</v>
      </c>
      <c r="AS31" s="117" cm="1">
        <f t="array" ref="AS31">SUMPRODUCT(    (CapexCategory=$B24)*  (AS$3&gt;=CapexMonth) *(AS$3&lt;=SalOff) * CapexAmount)</f>
        <v>0</v>
      </c>
      <c r="AT31" s="243" cm="1">
        <f t="array" ref="AT31">SUMPRODUCT(    (CapexCategory=$B24)*  (AT$3&gt;=CapexMonth) *(AT$3&lt;=SalOff) * CapexAmount)</f>
        <v>0</v>
      </c>
      <c r="AU31" s="117" cm="1">
        <f t="array" ref="AU31">SUMPRODUCT(    (CapexCategory=$B24)*  (AU$3&gt;=CapexMonth) *(AU$3&lt;=SalOff) * CapexAmount)</f>
        <v>0</v>
      </c>
      <c r="AV31" s="117" cm="1">
        <f t="array" ref="AV31">SUMPRODUCT(    (CapexCategory=$B24)*  (AV$3&gt;=CapexMonth) *(AV$3&lt;=SalOff) * CapexAmount)</f>
        <v>0</v>
      </c>
      <c r="AW31" s="117" cm="1">
        <f t="array" ref="AW31">SUMPRODUCT(    (CapexCategory=$B24)*  (AW$3&gt;=CapexMonth) *(AW$3&lt;=SalOff) * CapexAmount)</f>
        <v>0</v>
      </c>
      <c r="AX31" s="117" cm="1">
        <f t="array" ref="AX31">SUMPRODUCT(    (CapexCategory=$B24)*  (AX$3&gt;=CapexMonth) *(AX$3&lt;=SalOff) * CapexAmount)</f>
        <v>0</v>
      </c>
      <c r="AY31" s="117" cm="1">
        <f t="array" ref="AY31">SUMPRODUCT(    (CapexCategory=$B24)*  (AY$3&gt;=CapexMonth) *(AY$3&lt;=SalOff) * CapexAmount)</f>
        <v>0</v>
      </c>
      <c r="AZ31" s="117" cm="1">
        <f t="array" ref="AZ31">SUMPRODUCT(    (CapexCategory=$B24)*  (AZ$3&gt;=CapexMonth) *(AZ$3&lt;=SalOff) * CapexAmount)</f>
        <v>0</v>
      </c>
      <c r="BA31" s="117" cm="1">
        <f t="array" ref="BA31">SUMPRODUCT(    (CapexCategory=$B24)*  (BA$3&gt;=CapexMonth) *(BA$3&lt;=SalOff) * CapexAmount)</f>
        <v>0</v>
      </c>
      <c r="BB31" s="117" cm="1">
        <f t="array" ref="BB31">SUMPRODUCT(    (CapexCategory=$B24)*  (BB$3&gt;=CapexMonth) *(BB$3&lt;=SalOff) * CapexAmount)</f>
        <v>0</v>
      </c>
      <c r="BC31" s="117" cm="1">
        <f t="array" ref="BC31">SUMPRODUCT(    (CapexCategory=$B24)*  (BC$3&gt;=CapexMonth) *(BC$3&lt;=SalOff) * CapexAmount)</f>
        <v>0</v>
      </c>
      <c r="BD31" s="117" cm="1">
        <f t="array" ref="BD31">SUMPRODUCT(    (CapexCategory=$B24)*  (BD$3&gt;=CapexMonth) *(BD$3&lt;=SalOff) * CapexAmount)</f>
        <v>0</v>
      </c>
      <c r="BE31" s="117" cm="1">
        <f t="array" ref="BE31">SUMPRODUCT(    (CapexCategory=$B24)*  (BE$3&gt;=CapexMonth) *(BE$3&lt;=SalOff) * CapexAmount)</f>
        <v>0</v>
      </c>
      <c r="BF31" s="243" cm="1">
        <f t="array" ref="BF31">SUMPRODUCT(    (CapexCategory=$B24)*  (BF$3&gt;=CapexMonth) *(BF$3&lt;=SalOff) * CapexAmount)</f>
        <v>0</v>
      </c>
      <c r="BG31" s="117" cm="1">
        <f t="array" ref="BG31">SUMPRODUCT(    (CapexCategory=$B24)*  (BG$3&gt;=CapexMonth) *(BG$3&lt;=SalOff) * CapexAmount)</f>
        <v>0</v>
      </c>
      <c r="BH31" s="117" cm="1">
        <f t="array" ref="BH31">SUMPRODUCT(    (CapexCategory=$B24)*  (BH$3&gt;=CapexMonth) *(BH$3&lt;=SalOff) * CapexAmount)</f>
        <v>0</v>
      </c>
      <c r="BI31" s="117" cm="1">
        <f t="array" ref="BI31">SUMPRODUCT(    (CapexCategory=$B24)*  (BI$3&gt;=CapexMonth) *(BI$3&lt;=SalOff) * CapexAmount)</f>
        <v>0</v>
      </c>
      <c r="BJ31" s="117" cm="1">
        <f t="array" ref="BJ31">SUMPRODUCT(    (CapexCategory=$B24)*  (BJ$3&gt;=CapexMonth) *(BJ$3&lt;=SalOff) * CapexAmount)</f>
        <v>0</v>
      </c>
      <c r="BK31" s="117" cm="1">
        <f t="array" ref="BK31">SUMPRODUCT(    (CapexCategory=$B24)*  (BK$3&gt;=CapexMonth) *(BK$3&lt;=SalOff) * CapexAmount)</f>
        <v>0</v>
      </c>
      <c r="BL31" s="117" cm="1">
        <f t="array" ref="BL31">SUMPRODUCT(    (CapexCategory=$B24)*  (BL$3&gt;=CapexMonth) *(BL$3&lt;=SalOff) * CapexAmount)</f>
        <v>0</v>
      </c>
      <c r="BM31" s="117" cm="1">
        <f t="array" ref="BM31">SUMPRODUCT(    (CapexCategory=$B24)*  (BM$3&gt;=CapexMonth) *(BM$3&lt;=SalOff) * CapexAmount)</f>
        <v>0</v>
      </c>
      <c r="BN31" s="117" cm="1">
        <f t="array" ref="BN31">SUMPRODUCT(    (CapexCategory=$B24)*  (BN$3&gt;=CapexMonth) *(BN$3&lt;=SalOff) * CapexAmount)</f>
        <v>0</v>
      </c>
      <c r="BO31" s="117" cm="1">
        <f t="array" ref="BO31">SUMPRODUCT(    (CapexCategory=$B24)*  (BO$3&gt;=CapexMonth) *(BO$3&lt;=SalOff) * CapexAmount)</f>
        <v>0</v>
      </c>
      <c r="BP31" s="117" cm="1">
        <f t="array" ref="BP31">SUMPRODUCT(    (CapexCategory=$B24)*  (BP$3&gt;=CapexMonth) *(BP$3&lt;=SalOff) * CapexAmount)</f>
        <v>0</v>
      </c>
      <c r="BQ31" s="117" cm="1">
        <f t="array" ref="BQ31">SUMPRODUCT(    (CapexCategory=$B24)*  (BQ$3&gt;=CapexMonth) *(BQ$3&lt;=SalOff) * CapexAmount)</f>
        <v>0</v>
      </c>
      <c r="BR31" s="243" cm="1">
        <f t="array" ref="BR31">SUMPRODUCT(    (CapexCategory=$B24)*  (BR$3&gt;=CapexMonth) *(BR$3&lt;=SalOff) * CapexAmount)</f>
        <v>0</v>
      </c>
    </row>
    <row r="32" spans="1:70" hidden="1" x14ac:dyDescent="0.3">
      <c r="B32" s="161" t="s">
        <v>181</v>
      </c>
      <c r="C32" s="160"/>
      <c r="E32" s="295">
        <f t="shared" si="24"/>
        <v>0</v>
      </c>
      <c r="F32" s="295">
        <f t="shared" si="25"/>
        <v>0</v>
      </c>
      <c r="G32" s="295">
        <f t="shared" si="26"/>
        <v>0</v>
      </c>
      <c r="H32" s="295">
        <f t="shared" si="27"/>
        <v>0</v>
      </c>
      <c r="I32" s="295">
        <f t="shared" si="28"/>
        <v>0</v>
      </c>
      <c r="J32" s="238"/>
      <c r="K32" s="246" cm="1">
        <f t="array" ref="K32">SUMPRODUCT(   ((ISBLANK(CapexCategory) + (CapexCategory="Other"))&gt;0)  *  (K$3&gt;=CapexMonth) *(K$3&lt;=SalOff) * CapexAmount)</f>
        <v>0</v>
      </c>
      <c r="L32" s="246" cm="1">
        <f t="array" ref="L32">SUMPRODUCT(   ((ISBLANK(CapexCategory) + (CapexCategory="Other"))&gt;0)  *  (L$3&gt;=CapexMonth) *(L$3&lt;=SalOff) * CapexAmount)</f>
        <v>0</v>
      </c>
      <c r="M32" s="246" cm="1">
        <f t="array" ref="M32">SUMPRODUCT(   ((ISBLANK(CapexCategory) + (CapexCategory="Other"))&gt;0)  *  (M$3&gt;=CapexMonth) *(M$3&lt;=SalOff) * CapexAmount)</f>
        <v>0</v>
      </c>
      <c r="N32" s="246" cm="1">
        <f t="array" ref="N32">SUMPRODUCT(   ((ISBLANK(CapexCategory) + (CapexCategory="Other"))&gt;0)  *  (N$3&gt;=CapexMonth) *(N$3&lt;=SalOff) * CapexAmount)</f>
        <v>0</v>
      </c>
      <c r="O32" s="246" cm="1">
        <f t="array" ref="O32">SUMPRODUCT(   ((ISBLANK(CapexCategory) + (CapexCategory="Other"))&gt;0)  *  (O$3&gt;=CapexMonth) *(O$3&lt;=SalOff) * CapexAmount)</f>
        <v>0</v>
      </c>
      <c r="P32" s="246" cm="1">
        <f t="array" ref="P32">SUMPRODUCT(   ((ISBLANK(CapexCategory) + (CapexCategory="Other"))&gt;0)  *  (P$3&gt;=CapexMonth) *(P$3&lt;=SalOff) * CapexAmount)</f>
        <v>0</v>
      </c>
      <c r="Q32" s="246" cm="1">
        <f t="array" ref="Q32">SUMPRODUCT(   ((ISBLANK(CapexCategory) + (CapexCategory="Other"))&gt;0)  *  (Q$3&gt;=CapexMonth) *(Q$3&lt;=SalOff) * CapexAmount)</f>
        <v>0</v>
      </c>
      <c r="R32" s="246" cm="1">
        <f t="array" ref="R32">SUMPRODUCT(   ((ISBLANK(CapexCategory) + (CapexCategory="Other"))&gt;0)  *  (R$3&gt;=CapexMonth) *(R$3&lt;=SalOff) * CapexAmount)</f>
        <v>0</v>
      </c>
      <c r="S32" s="246" cm="1">
        <f t="array" ref="S32">SUMPRODUCT(   ((ISBLANK(CapexCategory) + (CapexCategory="Other"))&gt;0)  *  (S$3&gt;=CapexMonth) *(S$3&lt;=SalOff) * CapexAmount)</f>
        <v>0</v>
      </c>
      <c r="T32" s="246" cm="1">
        <f t="array" ref="T32">SUMPRODUCT(   ((ISBLANK(CapexCategory) + (CapexCategory="Other"))&gt;0)  *  (T$3&gt;=CapexMonth) *(T$3&lt;=SalOff) * CapexAmount)</f>
        <v>0</v>
      </c>
      <c r="U32" s="246" cm="1">
        <f t="array" ref="U32">SUMPRODUCT(   ((ISBLANK(CapexCategory) + (CapexCategory="Other"))&gt;0)  *  (U$3&gt;=CapexMonth) *(U$3&lt;=SalOff) * CapexAmount)</f>
        <v>0</v>
      </c>
      <c r="V32" s="247" cm="1">
        <f t="array" ref="V32">SUMPRODUCT(   ((ISBLANK(CapexCategory) + (CapexCategory="Other"))&gt;0)  *  (V$3&gt;=CapexMonth) *(V$3&lt;=SalOff) * CapexAmount)</f>
        <v>0</v>
      </c>
      <c r="W32" s="246" cm="1">
        <f t="array" ref="W32">SUMPRODUCT(   ((ISBLANK(CapexCategory) + (CapexCategory="Other"))&gt;0)  *  (W$3&gt;=CapexMonth) *(W$3&lt;=SalOff) * CapexAmount)</f>
        <v>0</v>
      </c>
      <c r="X32" s="246" cm="1">
        <f t="array" ref="X32">SUMPRODUCT(   ((ISBLANK(CapexCategory) + (CapexCategory="Other"))&gt;0)  *  (X$3&gt;=CapexMonth) *(X$3&lt;=SalOff) * CapexAmount)</f>
        <v>0</v>
      </c>
      <c r="Y32" s="246" cm="1">
        <f t="array" ref="Y32">SUMPRODUCT(   ((ISBLANK(CapexCategory) + (CapexCategory="Other"))&gt;0)  *  (Y$3&gt;=CapexMonth) *(Y$3&lt;=SalOff) * CapexAmount)</f>
        <v>0</v>
      </c>
      <c r="Z32" s="246" cm="1">
        <f t="array" ref="Z32">SUMPRODUCT(   ((ISBLANK(CapexCategory) + (CapexCategory="Other"))&gt;0)  *  (Z$3&gt;=CapexMonth) *(Z$3&lt;=SalOff) * CapexAmount)</f>
        <v>0</v>
      </c>
      <c r="AA32" s="246" cm="1">
        <f t="array" ref="AA32">SUMPRODUCT(   ((ISBLANK(CapexCategory) + (CapexCategory="Other"))&gt;0)  *  (AA$3&gt;=CapexMonth) *(AA$3&lt;=SalOff) * CapexAmount)</f>
        <v>0</v>
      </c>
      <c r="AB32" s="246" cm="1">
        <f t="array" ref="AB32">SUMPRODUCT(   ((ISBLANK(CapexCategory) + (CapexCategory="Other"))&gt;0)  *  (AB$3&gt;=CapexMonth) *(AB$3&lt;=SalOff) * CapexAmount)</f>
        <v>10</v>
      </c>
      <c r="AC32" s="246" cm="1">
        <f t="array" ref="AC32">SUMPRODUCT(   ((ISBLANK(CapexCategory) + (CapexCategory="Other"))&gt;0)  *  (AC$3&gt;=CapexMonth) *(AC$3&lt;=SalOff) * CapexAmount)</f>
        <v>10</v>
      </c>
      <c r="AD32" s="246" cm="1">
        <f t="array" ref="AD32">SUMPRODUCT(   ((ISBLANK(CapexCategory) + (CapexCategory="Other"))&gt;0)  *  (AD$3&gt;=CapexMonth) *(AD$3&lt;=SalOff) * CapexAmount)</f>
        <v>10</v>
      </c>
      <c r="AE32" s="246" cm="1">
        <f t="array" ref="AE32">SUMPRODUCT(   ((ISBLANK(CapexCategory) + (CapexCategory="Other"))&gt;0)  *  (AE$3&gt;=CapexMonth) *(AE$3&lt;=SalOff) * CapexAmount)</f>
        <v>0</v>
      </c>
      <c r="AF32" s="246" cm="1">
        <f t="array" ref="AF32">SUMPRODUCT(   ((ISBLANK(CapexCategory) + (CapexCategory="Other"))&gt;0)  *  (AF$3&gt;=CapexMonth) *(AF$3&lt;=SalOff) * CapexAmount)</f>
        <v>0</v>
      </c>
      <c r="AG32" s="246" cm="1">
        <f t="array" ref="AG32">SUMPRODUCT(   ((ISBLANK(CapexCategory) + (CapexCategory="Other"))&gt;0)  *  (AG$3&gt;=CapexMonth) *(AG$3&lt;=SalOff) * CapexAmount)</f>
        <v>0</v>
      </c>
      <c r="AH32" s="247" cm="1">
        <f t="array" ref="AH32">SUMPRODUCT(   ((ISBLANK(CapexCategory) + (CapexCategory="Other"))&gt;0)  *  (AH$3&gt;=CapexMonth) *(AH$3&lt;=SalOff) * CapexAmount)</f>
        <v>0</v>
      </c>
      <c r="AI32" s="246" cm="1">
        <f t="array" ref="AI32">SUMPRODUCT(   ((ISBLANK(CapexCategory) + (CapexCategory="Other"))&gt;0)  *  (AI$3&gt;=CapexMonth) *(AI$3&lt;=SalOff) * CapexAmount)</f>
        <v>0</v>
      </c>
      <c r="AJ32" s="246" cm="1">
        <f t="array" ref="AJ32">SUMPRODUCT(   ((ISBLANK(CapexCategory) + (CapexCategory="Other"))&gt;0)  *  (AJ$3&gt;=CapexMonth) *(AJ$3&lt;=SalOff) * CapexAmount)</f>
        <v>0</v>
      </c>
      <c r="AK32" s="246" cm="1">
        <f t="array" ref="AK32">SUMPRODUCT(   ((ISBLANK(CapexCategory) + (CapexCategory="Other"))&gt;0)  *  (AK$3&gt;=CapexMonth) *(AK$3&lt;=SalOff) * CapexAmount)</f>
        <v>0</v>
      </c>
      <c r="AL32" s="246" cm="1">
        <f t="array" ref="AL32">SUMPRODUCT(   ((ISBLANK(CapexCategory) + (CapexCategory="Other"))&gt;0)  *  (AL$3&gt;=CapexMonth) *(AL$3&lt;=SalOff) * CapexAmount)</f>
        <v>0</v>
      </c>
      <c r="AM32" s="246" cm="1">
        <f t="array" ref="AM32">SUMPRODUCT(   ((ISBLANK(CapexCategory) + (CapexCategory="Other"))&gt;0)  *  (AM$3&gt;=CapexMonth) *(AM$3&lt;=SalOff) * CapexAmount)</f>
        <v>0</v>
      </c>
      <c r="AN32" s="246" cm="1">
        <f t="array" ref="AN32">SUMPRODUCT(   ((ISBLANK(CapexCategory) + (CapexCategory="Other"))&gt;0)  *  (AN$3&gt;=CapexMonth) *(AN$3&lt;=SalOff) * CapexAmount)</f>
        <v>0</v>
      </c>
      <c r="AO32" s="246" cm="1">
        <f t="array" ref="AO32">SUMPRODUCT(   ((ISBLANK(CapexCategory) + (CapexCategory="Other"))&gt;0)  *  (AO$3&gt;=CapexMonth) *(AO$3&lt;=SalOff) * CapexAmount)</f>
        <v>0</v>
      </c>
      <c r="AP32" s="246" cm="1">
        <f t="array" ref="AP32">SUMPRODUCT(   ((ISBLANK(CapexCategory) + (CapexCategory="Other"))&gt;0)  *  (AP$3&gt;=CapexMonth) *(AP$3&lt;=SalOff) * CapexAmount)</f>
        <v>0</v>
      </c>
      <c r="AQ32" s="246" cm="1">
        <f t="array" ref="AQ32">SUMPRODUCT(   ((ISBLANK(CapexCategory) + (CapexCategory="Other"))&gt;0)  *  (AQ$3&gt;=CapexMonth) *(AQ$3&lt;=SalOff) * CapexAmount)</f>
        <v>0</v>
      </c>
      <c r="AR32" s="246" cm="1">
        <f t="array" ref="AR32">SUMPRODUCT(   ((ISBLANK(CapexCategory) + (CapexCategory="Other"))&gt;0)  *  (AR$3&gt;=CapexMonth) *(AR$3&lt;=SalOff) * CapexAmount)</f>
        <v>0</v>
      </c>
      <c r="AS32" s="246" cm="1">
        <f t="array" ref="AS32">SUMPRODUCT(   ((ISBLANK(CapexCategory) + (CapexCategory="Other"))&gt;0)  *  (AS$3&gt;=CapexMonth) *(AS$3&lt;=SalOff) * CapexAmount)</f>
        <v>0</v>
      </c>
      <c r="AT32" s="247" cm="1">
        <f t="array" ref="AT32">SUMPRODUCT(   ((ISBLANK(CapexCategory) + (CapexCategory="Other"))&gt;0)  *  (AT$3&gt;=CapexMonth) *(AT$3&lt;=SalOff) * CapexAmount)</f>
        <v>0</v>
      </c>
      <c r="AU32" s="246" cm="1">
        <f t="array" ref="AU32">SUMPRODUCT(   ((ISBLANK(CapexCategory) + (CapexCategory="Other"))&gt;0)  *  (AU$3&gt;=CapexMonth) *(AU$3&lt;=SalOff) * CapexAmount)</f>
        <v>0</v>
      </c>
      <c r="AV32" s="246" cm="1">
        <f t="array" ref="AV32">SUMPRODUCT(   ((ISBLANK(CapexCategory) + (CapexCategory="Other"))&gt;0)  *  (AV$3&gt;=CapexMonth) *(AV$3&lt;=SalOff) * CapexAmount)</f>
        <v>0</v>
      </c>
      <c r="AW32" s="246" cm="1">
        <f t="array" ref="AW32">SUMPRODUCT(   ((ISBLANK(CapexCategory) + (CapexCategory="Other"))&gt;0)  *  (AW$3&gt;=CapexMonth) *(AW$3&lt;=SalOff) * CapexAmount)</f>
        <v>0</v>
      </c>
      <c r="AX32" s="246" cm="1">
        <f t="array" ref="AX32">SUMPRODUCT(   ((ISBLANK(CapexCategory) + (CapexCategory="Other"))&gt;0)  *  (AX$3&gt;=CapexMonth) *(AX$3&lt;=SalOff) * CapexAmount)</f>
        <v>0</v>
      </c>
      <c r="AY32" s="246" cm="1">
        <f t="array" ref="AY32">SUMPRODUCT(   ((ISBLANK(CapexCategory) + (CapexCategory="Other"))&gt;0)  *  (AY$3&gt;=CapexMonth) *(AY$3&lt;=SalOff) * CapexAmount)</f>
        <v>0</v>
      </c>
      <c r="AZ32" s="246" cm="1">
        <f t="array" ref="AZ32">SUMPRODUCT(   ((ISBLANK(CapexCategory) + (CapexCategory="Other"))&gt;0)  *  (AZ$3&gt;=CapexMonth) *(AZ$3&lt;=SalOff) * CapexAmount)</f>
        <v>0</v>
      </c>
      <c r="BA32" s="246" cm="1">
        <f t="array" ref="BA32">SUMPRODUCT(   ((ISBLANK(CapexCategory) + (CapexCategory="Other"))&gt;0)  *  (BA$3&gt;=CapexMonth) *(BA$3&lt;=SalOff) * CapexAmount)</f>
        <v>0</v>
      </c>
      <c r="BB32" s="246" cm="1">
        <f t="array" ref="BB32">SUMPRODUCT(   ((ISBLANK(CapexCategory) + (CapexCategory="Other"))&gt;0)  *  (BB$3&gt;=CapexMonth) *(BB$3&lt;=SalOff) * CapexAmount)</f>
        <v>0</v>
      </c>
      <c r="BC32" s="246" cm="1">
        <f t="array" ref="BC32">SUMPRODUCT(   ((ISBLANK(CapexCategory) + (CapexCategory="Other"))&gt;0)  *  (BC$3&gt;=CapexMonth) *(BC$3&lt;=SalOff) * CapexAmount)</f>
        <v>0</v>
      </c>
      <c r="BD32" s="246" cm="1">
        <f t="array" ref="BD32">SUMPRODUCT(   ((ISBLANK(CapexCategory) + (CapexCategory="Other"))&gt;0)  *  (BD$3&gt;=CapexMonth) *(BD$3&lt;=SalOff) * CapexAmount)</f>
        <v>0</v>
      </c>
      <c r="BE32" s="246" cm="1">
        <f t="array" ref="BE32">SUMPRODUCT(   ((ISBLANK(CapexCategory) + (CapexCategory="Other"))&gt;0)  *  (BE$3&gt;=CapexMonth) *(BE$3&lt;=SalOff) * CapexAmount)</f>
        <v>0</v>
      </c>
      <c r="BF32" s="247" cm="1">
        <f t="array" ref="BF32">SUMPRODUCT(   ((ISBLANK(CapexCategory) + (CapexCategory="Other"))&gt;0)  *  (BF$3&gt;=CapexMonth) *(BF$3&lt;=SalOff) * CapexAmount)</f>
        <v>0</v>
      </c>
      <c r="BG32" s="246" cm="1">
        <f t="array" ref="BG32">SUMPRODUCT(   ((ISBLANK(CapexCategory) + (CapexCategory="Other"))&gt;0)  *  (BG$3&gt;=CapexMonth) *(BG$3&lt;=SalOff) * CapexAmount)</f>
        <v>0</v>
      </c>
      <c r="BH32" s="246" cm="1">
        <f t="array" ref="BH32">SUMPRODUCT(   ((ISBLANK(CapexCategory) + (CapexCategory="Other"))&gt;0)  *  (BH$3&gt;=CapexMonth) *(BH$3&lt;=SalOff) * CapexAmount)</f>
        <v>0</v>
      </c>
      <c r="BI32" s="246" cm="1">
        <f t="array" ref="BI32">SUMPRODUCT(   ((ISBLANK(CapexCategory) + (CapexCategory="Other"))&gt;0)  *  (BI$3&gt;=CapexMonth) *(BI$3&lt;=SalOff) * CapexAmount)</f>
        <v>0</v>
      </c>
      <c r="BJ32" s="246" cm="1">
        <f t="array" ref="BJ32">SUMPRODUCT(   ((ISBLANK(CapexCategory) + (CapexCategory="Other"))&gt;0)  *  (BJ$3&gt;=CapexMonth) *(BJ$3&lt;=SalOff) * CapexAmount)</f>
        <v>0</v>
      </c>
      <c r="BK32" s="246" cm="1">
        <f t="array" ref="BK32">SUMPRODUCT(   ((ISBLANK(CapexCategory) + (CapexCategory="Other"))&gt;0)  *  (BK$3&gt;=CapexMonth) *(BK$3&lt;=SalOff) * CapexAmount)</f>
        <v>0</v>
      </c>
      <c r="BL32" s="246" cm="1">
        <f t="array" ref="BL32">SUMPRODUCT(   ((ISBLANK(CapexCategory) + (CapexCategory="Other"))&gt;0)  *  (BL$3&gt;=CapexMonth) *(BL$3&lt;=SalOff) * CapexAmount)</f>
        <v>0</v>
      </c>
      <c r="BM32" s="246" cm="1">
        <f t="array" ref="BM32">SUMPRODUCT(   ((ISBLANK(CapexCategory) + (CapexCategory="Other"))&gt;0)  *  (BM$3&gt;=CapexMonth) *(BM$3&lt;=SalOff) * CapexAmount)</f>
        <v>0</v>
      </c>
      <c r="BN32" s="246" cm="1">
        <f t="array" ref="BN32">SUMPRODUCT(   ((ISBLANK(CapexCategory) + (CapexCategory="Other"))&gt;0)  *  (BN$3&gt;=CapexMonth) *(BN$3&lt;=SalOff) * CapexAmount)</f>
        <v>0</v>
      </c>
      <c r="BO32" s="246" cm="1">
        <f t="array" ref="BO32">SUMPRODUCT(   ((ISBLANK(CapexCategory) + (CapexCategory="Other"))&gt;0)  *  (BO$3&gt;=CapexMonth) *(BO$3&lt;=SalOff) * CapexAmount)</f>
        <v>0</v>
      </c>
      <c r="BP32" s="246" cm="1">
        <f t="array" ref="BP32">SUMPRODUCT(   ((ISBLANK(CapexCategory) + (CapexCategory="Other"))&gt;0)  *  (BP$3&gt;=CapexMonth) *(BP$3&lt;=SalOff) * CapexAmount)</f>
        <v>0</v>
      </c>
      <c r="BQ32" s="246" cm="1">
        <f t="array" ref="BQ32">SUMPRODUCT(   ((ISBLANK(CapexCategory) + (CapexCategory="Other"))&gt;0)  *  (BQ$3&gt;=CapexMonth) *(BQ$3&lt;=SalOff) * CapexAmount)</f>
        <v>0</v>
      </c>
      <c r="BR32" s="247" cm="1">
        <f t="array" ref="BR32">SUMPRODUCT(   ((ISBLANK(CapexCategory) + (CapexCategory="Other"))&gt;0)  *  (BR$3&gt;=CapexMonth) *(BR$3&lt;=SalOff) * CapexAmount)</f>
        <v>0</v>
      </c>
    </row>
    <row r="33" spans="1:70" s="323" customFormat="1" x14ac:dyDescent="0.3">
      <c r="A33" s="109"/>
      <c r="B33" s="162" t="s">
        <v>95</v>
      </c>
      <c r="C33" s="163"/>
      <c r="D33" s="105"/>
      <c r="E33" s="294">
        <f t="shared" si="24"/>
        <v>350</v>
      </c>
      <c r="F33" s="294">
        <f t="shared" si="25"/>
        <v>0</v>
      </c>
      <c r="G33" s="294">
        <f t="shared" si="26"/>
        <v>0</v>
      </c>
      <c r="H33" s="294">
        <f t="shared" si="27"/>
        <v>0</v>
      </c>
      <c r="I33" s="294">
        <f t="shared" si="28"/>
        <v>0</v>
      </c>
      <c r="J33" s="238"/>
      <c r="K33" s="238">
        <f t="shared" ref="K33" si="29">SUM(K27:K32)</f>
        <v>40</v>
      </c>
      <c r="L33" s="238">
        <f t="shared" ref="L33:BR33" si="30">SUM(L27:L32)</f>
        <v>40</v>
      </c>
      <c r="M33" s="238">
        <f t="shared" si="30"/>
        <v>40</v>
      </c>
      <c r="N33" s="238">
        <f>SUM(N27:N32)</f>
        <v>290</v>
      </c>
      <c r="O33" s="238">
        <f t="shared" si="30"/>
        <v>290</v>
      </c>
      <c r="P33" s="238">
        <f>SUM(P27:P32)</f>
        <v>390</v>
      </c>
      <c r="Q33" s="238">
        <f t="shared" si="30"/>
        <v>390</v>
      </c>
      <c r="R33" s="238">
        <f t="shared" si="30"/>
        <v>440</v>
      </c>
      <c r="S33" s="238">
        <f t="shared" si="30"/>
        <v>440</v>
      </c>
      <c r="T33" s="238">
        <f t="shared" si="30"/>
        <v>440</v>
      </c>
      <c r="U33" s="238">
        <f t="shared" si="30"/>
        <v>350</v>
      </c>
      <c r="V33" s="245">
        <f t="shared" si="30"/>
        <v>350</v>
      </c>
      <c r="W33" s="238">
        <f t="shared" si="30"/>
        <v>250</v>
      </c>
      <c r="X33" s="238">
        <f t="shared" si="30"/>
        <v>250</v>
      </c>
      <c r="Y33" s="238">
        <f t="shared" si="30"/>
        <v>250</v>
      </c>
      <c r="Z33" s="238">
        <f t="shared" si="30"/>
        <v>250</v>
      </c>
      <c r="AA33" s="238">
        <f t="shared" si="30"/>
        <v>250</v>
      </c>
      <c r="AB33" s="238">
        <f t="shared" si="30"/>
        <v>260</v>
      </c>
      <c r="AC33" s="238">
        <f t="shared" si="30"/>
        <v>260</v>
      </c>
      <c r="AD33" s="238">
        <f t="shared" si="30"/>
        <v>260</v>
      </c>
      <c r="AE33" s="238">
        <f t="shared" si="30"/>
        <v>0</v>
      </c>
      <c r="AF33" s="238">
        <f t="shared" si="30"/>
        <v>0</v>
      </c>
      <c r="AG33" s="238">
        <f t="shared" si="30"/>
        <v>0</v>
      </c>
      <c r="AH33" s="245">
        <f t="shared" si="30"/>
        <v>0</v>
      </c>
      <c r="AI33" s="238">
        <f t="shared" si="30"/>
        <v>0</v>
      </c>
      <c r="AJ33" s="238">
        <f t="shared" si="30"/>
        <v>0</v>
      </c>
      <c r="AK33" s="238">
        <f t="shared" si="30"/>
        <v>0</v>
      </c>
      <c r="AL33" s="238">
        <f t="shared" si="30"/>
        <v>0</v>
      </c>
      <c r="AM33" s="238">
        <f t="shared" si="30"/>
        <v>0</v>
      </c>
      <c r="AN33" s="238">
        <f t="shared" si="30"/>
        <v>0</v>
      </c>
      <c r="AO33" s="238">
        <f t="shared" si="30"/>
        <v>0</v>
      </c>
      <c r="AP33" s="238">
        <f t="shared" si="30"/>
        <v>0</v>
      </c>
      <c r="AQ33" s="238">
        <f t="shared" si="30"/>
        <v>0</v>
      </c>
      <c r="AR33" s="238">
        <f t="shared" si="30"/>
        <v>0</v>
      </c>
      <c r="AS33" s="238">
        <f t="shared" si="30"/>
        <v>0</v>
      </c>
      <c r="AT33" s="245">
        <f t="shared" si="30"/>
        <v>0</v>
      </c>
      <c r="AU33" s="238">
        <f t="shared" si="30"/>
        <v>0</v>
      </c>
      <c r="AV33" s="238">
        <f t="shared" si="30"/>
        <v>0</v>
      </c>
      <c r="AW33" s="238">
        <f t="shared" si="30"/>
        <v>0</v>
      </c>
      <c r="AX33" s="238">
        <f t="shared" si="30"/>
        <v>0</v>
      </c>
      <c r="AY33" s="238">
        <f t="shared" si="30"/>
        <v>0</v>
      </c>
      <c r="AZ33" s="238">
        <f t="shared" si="30"/>
        <v>0</v>
      </c>
      <c r="BA33" s="238">
        <f t="shared" si="30"/>
        <v>0</v>
      </c>
      <c r="BB33" s="238">
        <f t="shared" si="30"/>
        <v>0</v>
      </c>
      <c r="BC33" s="238">
        <f t="shared" si="30"/>
        <v>0</v>
      </c>
      <c r="BD33" s="238">
        <f t="shared" si="30"/>
        <v>0</v>
      </c>
      <c r="BE33" s="238">
        <f t="shared" si="30"/>
        <v>0</v>
      </c>
      <c r="BF33" s="245">
        <f t="shared" si="30"/>
        <v>0</v>
      </c>
      <c r="BG33" s="238">
        <f t="shared" si="30"/>
        <v>0</v>
      </c>
      <c r="BH33" s="238">
        <f t="shared" si="30"/>
        <v>0</v>
      </c>
      <c r="BI33" s="238">
        <f t="shared" si="30"/>
        <v>0</v>
      </c>
      <c r="BJ33" s="238">
        <f t="shared" si="30"/>
        <v>0</v>
      </c>
      <c r="BK33" s="238">
        <f t="shared" si="30"/>
        <v>0</v>
      </c>
      <c r="BL33" s="238">
        <f t="shared" si="30"/>
        <v>0</v>
      </c>
      <c r="BM33" s="238">
        <f t="shared" si="30"/>
        <v>0</v>
      </c>
      <c r="BN33" s="238">
        <f t="shared" si="30"/>
        <v>0</v>
      </c>
      <c r="BO33" s="238">
        <f t="shared" si="30"/>
        <v>0</v>
      </c>
      <c r="BP33" s="238">
        <f t="shared" si="30"/>
        <v>0</v>
      </c>
      <c r="BQ33" s="238">
        <f t="shared" si="30"/>
        <v>0</v>
      </c>
      <c r="BR33" s="245">
        <f t="shared" si="30"/>
        <v>0</v>
      </c>
    </row>
    <row r="34" spans="1:70" ht="6" customHeight="1" x14ac:dyDescent="0.35">
      <c r="E34" s="321"/>
      <c r="F34" s="321"/>
      <c r="G34" s="321"/>
      <c r="H34" s="321"/>
      <c r="I34" s="321"/>
      <c r="J34" s="321"/>
      <c r="K34" s="321"/>
      <c r="L34" s="321"/>
      <c r="M34" s="321"/>
      <c r="N34" s="321"/>
      <c r="O34" s="321"/>
      <c r="P34" s="321"/>
      <c r="Q34" s="321"/>
      <c r="R34" s="321"/>
      <c r="S34" s="321"/>
      <c r="T34" s="321"/>
      <c r="U34" s="321"/>
      <c r="V34" s="321"/>
      <c r="W34" s="321"/>
      <c r="X34" s="321"/>
      <c r="Y34" s="321"/>
      <c r="Z34" s="321"/>
      <c r="AA34" s="321"/>
      <c r="AB34" s="321"/>
      <c r="AC34" s="321"/>
      <c r="AD34" s="321"/>
      <c r="AE34" s="321"/>
      <c r="AF34" s="321"/>
      <c r="AG34" s="321"/>
      <c r="AH34" s="321"/>
      <c r="AI34" s="321"/>
      <c r="AJ34" s="321"/>
      <c r="AK34" s="321"/>
      <c r="AL34" s="321"/>
      <c r="AM34" s="321"/>
      <c r="AN34" s="321"/>
      <c r="AO34" s="321"/>
      <c r="AP34" s="321"/>
      <c r="AQ34" s="321"/>
      <c r="AR34" s="321"/>
      <c r="AS34" s="321"/>
      <c r="AT34" s="321"/>
      <c r="AU34" s="321"/>
      <c r="AV34" s="321"/>
      <c r="AW34" s="321"/>
      <c r="AX34" s="321"/>
      <c r="AY34" s="321"/>
      <c r="AZ34" s="321"/>
      <c r="BA34" s="321"/>
      <c r="BB34" s="321"/>
      <c r="BC34" s="321"/>
      <c r="BD34" s="321"/>
      <c r="BE34" s="321"/>
      <c r="BF34" s="321"/>
      <c r="BG34" s="321"/>
      <c r="BH34" s="321"/>
      <c r="BI34" s="321"/>
      <c r="BJ34" s="321"/>
      <c r="BK34" s="321"/>
      <c r="BL34" s="321"/>
      <c r="BM34" s="321"/>
      <c r="BN34" s="321"/>
      <c r="BO34" s="321"/>
      <c r="BP34" s="321"/>
      <c r="BQ34" s="321"/>
      <c r="BR34" s="321"/>
    </row>
    <row r="35" spans="1:70" x14ac:dyDescent="0.3">
      <c r="B35" s="159" t="s">
        <v>47</v>
      </c>
      <c r="C35" s="185"/>
      <c r="E35" s="237">
        <f t="shared" ref="E35:E41" si="31">SUM(K35:V35)</f>
        <v>0</v>
      </c>
      <c r="F35" s="237">
        <f t="shared" ref="F35:F41" si="32">SUM(W35:AH35)</f>
        <v>175</v>
      </c>
      <c r="G35" s="237">
        <f t="shared" ref="G35:G40" si="33">SUM(AI35:AT35)</f>
        <v>0</v>
      </c>
      <c r="H35" s="237">
        <f t="shared" ref="H35:H41" si="34">SUM(AU35:BF35)</f>
        <v>0</v>
      </c>
      <c r="I35" s="237">
        <f t="shared" ref="I35:I41" si="35">SUM(BG35:BR35)</f>
        <v>0</v>
      </c>
      <c r="J35" s="238"/>
      <c r="K35" s="117" cm="1">
        <f t="array" ref="K35">SUMPRODUCT(($B35=CapexCategory)*(K$3=CapExSalvageMonth)*CapexSalvage)</f>
        <v>0</v>
      </c>
      <c r="L35" s="117" cm="1">
        <f t="array" ref="L35">SUMPRODUCT(($B35=CapexCategory)*(L$3=CapExSalvageMonth)*CapexSalvage)</f>
        <v>0</v>
      </c>
      <c r="M35" s="117" cm="1">
        <f t="array" ref="M35">SUMPRODUCT(($B35=CapexCategory)*(M$3=CapExSalvageMonth)*CapexSalvage)</f>
        <v>0</v>
      </c>
      <c r="N35" s="117" cm="1">
        <f t="array" ref="N35">SUMPRODUCT(($B35=CapexCategory)*(N$3=CapExSalvageMonth)*CapexSalvage)</f>
        <v>0</v>
      </c>
      <c r="O35" s="117" cm="1">
        <f t="array" ref="O35">SUMPRODUCT(($B35=CapexCategory)*(O$3=CapExSalvageMonth)*CapexSalvage)</f>
        <v>0</v>
      </c>
      <c r="P35" s="117" cm="1">
        <f t="array" ref="P35">SUMPRODUCT(($B35=CapexCategory)*(P$3=CapExSalvageMonth)*CapexSalvage)</f>
        <v>0</v>
      </c>
      <c r="Q35" s="117" cm="1">
        <f t="array" ref="Q35">SUMPRODUCT(($B35=CapexCategory)*(Q$3=CapExSalvageMonth)*CapexSalvage)</f>
        <v>0</v>
      </c>
      <c r="R35" s="117" cm="1">
        <f t="array" ref="R35">SUMPRODUCT(($B35=CapexCategory)*(R$3=CapExSalvageMonth)*CapexSalvage)</f>
        <v>0</v>
      </c>
      <c r="S35" s="117" cm="1">
        <f t="array" ref="S35">SUMPRODUCT(($B35=CapexCategory)*(S$3=CapExSalvageMonth)*CapexSalvage)</f>
        <v>0</v>
      </c>
      <c r="T35" s="117" cm="1">
        <f t="array" ref="T35">SUMPRODUCT(($B35=CapexCategory)*(T$3=CapExSalvageMonth)*CapexSalvage)</f>
        <v>0</v>
      </c>
      <c r="U35" s="117" cm="1">
        <f t="array" ref="U35">SUMPRODUCT(($B35=CapexCategory)*(U$3=CapExSalvageMonth)*CapexSalvage)</f>
        <v>0</v>
      </c>
      <c r="V35" s="237" cm="1">
        <f t="array" ref="V35">SUMPRODUCT(($B35=CapexCategory)*(V$3=CapExSalvageMonth)*CapexSalvage)</f>
        <v>0</v>
      </c>
      <c r="W35" s="117" cm="1">
        <f t="array" ref="W35">SUMPRODUCT(($B35=CapexCategory)*(W$3=CapExSalvageMonth)*CapexSalvage)</f>
        <v>0</v>
      </c>
      <c r="X35" s="117" cm="1">
        <f t="array" ref="X35">SUMPRODUCT(($B35=CapexCategory)*(X$3=CapExSalvageMonth)*CapexSalvage)</f>
        <v>0</v>
      </c>
      <c r="Y35" s="117" cm="1">
        <f t="array" ref="Y35">SUMPRODUCT(($B35=CapexCategory)*(Y$3=CapExSalvageMonth)*CapexSalvage)</f>
        <v>0</v>
      </c>
      <c r="Z35" s="117" cm="1">
        <f t="array" ref="Z35">SUMPRODUCT(($B35=CapexCategory)*(Z$3=CapExSalvageMonth)*CapexSalvage)</f>
        <v>0</v>
      </c>
      <c r="AA35" s="117" cm="1">
        <f t="array" ref="AA35">SUMPRODUCT(($B35=CapexCategory)*(AA$3=CapExSalvageMonth)*CapexSalvage)</f>
        <v>0</v>
      </c>
      <c r="AB35" s="117" cm="1">
        <f t="array" ref="AB35">SUMPRODUCT(($B35=CapexCategory)*(AB$3=CapExSalvageMonth)*CapexSalvage)</f>
        <v>0</v>
      </c>
      <c r="AC35" s="117" cm="1">
        <f t="array" ref="AC35">SUMPRODUCT(($B35=CapexCategory)*(AC$3=CapExSalvageMonth)*CapexSalvage)</f>
        <v>0</v>
      </c>
      <c r="AD35" s="117" cm="1">
        <f t="array" ref="AD35">SUMPRODUCT(($B35=CapexCategory)*(AD$3=CapExSalvageMonth)*CapexSalvage)</f>
        <v>175</v>
      </c>
      <c r="AE35" s="117" cm="1">
        <f t="array" ref="AE35">SUMPRODUCT(($B35=CapexCategory)*(AE$3=CapExSalvageMonth)*CapexSalvage)</f>
        <v>0</v>
      </c>
      <c r="AF35" s="117" cm="1">
        <f t="array" ref="AF35">SUMPRODUCT(($B35=CapexCategory)*(AF$3=CapExSalvageMonth)*CapexSalvage)</f>
        <v>0</v>
      </c>
      <c r="AG35" s="117" cm="1">
        <f t="array" ref="AG35">SUMPRODUCT(($B35=CapexCategory)*(AG$3=CapExSalvageMonth)*CapexSalvage)</f>
        <v>0</v>
      </c>
      <c r="AH35" s="237" cm="1">
        <f t="array" ref="AH35">SUMPRODUCT(($B35=CapexCategory)*(AH$3=CapExSalvageMonth)*CapexSalvage)</f>
        <v>0</v>
      </c>
      <c r="AI35" s="117" cm="1">
        <f t="array" ref="AI35">SUMPRODUCT(($B35=CapexCategory)*(AI$3=CapExSalvageMonth)*CapexSalvage)</f>
        <v>0</v>
      </c>
      <c r="AJ35" s="117" cm="1">
        <f t="array" ref="AJ35">SUMPRODUCT(($B35=CapexCategory)*(AJ$3=CapExSalvageMonth)*CapexSalvage)</f>
        <v>0</v>
      </c>
      <c r="AK35" s="117" cm="1">
        <f t="array" ref="AK35">SUMPRODUCT(($B35=CapexCategory)*(AK$3=CapExSalvageMonth)*CapexSalvage)</f>
        <v>0</v>
      </c>
      <c r="AL35" s="117" cm="1">
        <f t="array" ref="AL35">SUMPRODUCT(($B35=CapexCategory)*(AL$3=CapExSalvageMonth)*CapexSalvage)</f>
        <v>0</v>
      </c>
      <c r="AM35" s="117" cm="1">
        <f t="array" ref="AM35">SUMPRODUCT(($B35=CapexCategory)*(AM$3=CapExSalvageMonth)*CapexSalvage)</f>
        <v>0</v>
      </c>
      <c r="AN35" s="117" cm="1">
        <f t="array" ref="AN35">SUMPRODUCT(($B35=CapexCategory)*(AN$3=CapExSalvageMonth)*CapexSalvage)</f>
        <v>0</v>
      </c>
      <c r="AO35" s="117" cm="1">
        <f t="array" ref="AO35">SUMPRODUCT(($B35=CapexCategory)*(AO$3=CapExSalvageMonth)*CapexSalvage)</f>
        <v>0</v>
      </c>
      <c r="AP35" s="117" cm="1">
        <f t="array" ref="AP35">SUMPRODUCT(($B35=CapexCategory)*(AP$3=CapExSalvageMonth)*CapexSalvage)</f>
        <v>0</v>
      </c>
      <c r="AQ35" s="117" cm="1">
        <f t="array" ref="AQ35">SUMPRODUCT(($B35=CapexCategory)*(AQ$3=CapExSalvageMonth)*CapexSalvage)</f>
        <v>0</v>
      </c>
      <c r="AR35" s="117" cm="1">
        <f t="array" ref="AR35">SUMPRODUCT(($B35=CapexCategory)*(AR$3=CapExSalvageMonth)*CapexSalvage)</f>
        <v>0</v>
      </c>
      <c r="AS35" s="117" cm="1">
        <f t="array" ref="AS35">SUMPRODUCT(($B35=CapexCategory)*(AS$3=CapExSalvageMonth)*CapexSalvage)</f>
        <v>0</v>
      </c>
      <c r="AT35" s="237" cm="1">
        <f t="array" ref="AT35">SUMPRODUCT(($B35=CapexCategory)*(AT$3=CapExSalvageMonth)*CapexSalvage)</f>
        <v>0</v>
      </c>
      <c r="AU35" s="117" cm="1">
        <f t="array" ref="AU35">SUMPRODUCT(($B35=CapexCategory)*(AU$3=CapExSalvageMonth)*CapexSalvage)</f>
        <v>0</v>
      </c>
      <c r="AV35" s="117" cm="1">
        <f t="array" ref="AV35">SUMPRODUCT(($B35=CapexCategory)*(AV$3=CapExSalvageMonth)*CapexSalvage)</f>
        <v>0</v>
      </c>
      <c r="AW35" s="117" cm="1">
        <f t="array" ref="AW35">SUMPRODUCT(($B35=CapexCategory)*(AW$3=CapExSalvageMonth)*CapexSalvage)</f>
        <v>0</v>
      </c>
      <c r="AX35" s="117" cm="1">
        <f t="array" ref="AX35">SUMPRODUCT(($B35=CapexCategory)*(AX$3=CapExSalvageMonth)*CapexSalvage)</f>
        <v>0</v>
      </c>
      <c r="AY35" s="117" cm="1">
        <f t="array" ref="AY35">SUMPRODUCT(($B35=CapexCategory)*(AY$3=CapExSalvageMonth)*CapexSalvage)</f>
        <v>0</v>
      </c>
      <c r="AZ35" s="117" cm="1">
        <f t="array" ref="AZ35">SUMPRODUCT(($B35=CapexCategory)*(AZ$3=CapExSalvageMonth)*CapexSalvage)</f>
        <v>0</v>
      </c>
      <c r="BA35" s="117" cm="1">
        <f t="array" ref="BA35">SUMPRODUCT(($B35=CapexCategory)*(BA$3=CapExSalvageMonth)*CapexSalvage)</f>
        <v>0</v>
      </c>
      <c r="BB35" s="117" cm="1">
        <f t="array" ref="BB35">SUMPRODUCT(($B35=CapexCategory)*(BB$3=CapExSalvageMonth)*CapexSalvage)</f>
        <v>0</v>
      </c>
      <c r="BC35" s="117" cm="1">
        <f t="array" ref="BC35">SUMPRODUCT(($B35=CapexCategory)*(BC$3=CapExSalvageMonth)*CapexSalvage)</f>
        <v>0</v>
      </c>
      <c r="BD35" s="117" cm="1">
        <f t="array" ref="BD35">SUMPRODUCT(($B35=CapexCategory)*(BD$3=CapExSalvageMonth)*CapexSalvage)</f>
        <v>0</v>
      </c>
      <c r="BE35" s="117" cm="1">
        <f t="array" ref="BE35">SUMPRODUCT(($B35=CapexCategory)*(BE$3=CapExSalvageMonth)*CapexSalvage)</f>
        <v>0</v>
      </c>
      <c r="BF35" s="237" cm="1">
        <f t="array" ref="BF35">SUMPRODUCT(($B35=CapexCategory)*(BF$3=CapExSalvageMonth)*CapexSalvage)</f>
        <v>0</v>
      </c>
      <c r="BG35" s="117" cm="1">
        <f t="array" ref="BG35">SUMPRODUCT(($B35=CapexCategory)*(BG$3=CapExSalvageMonth)*CapexSalvage)</f>
        <v>0</v>
      </c>
      <c r="BH35" s="117" cm="1">
        <f t="array" ref="BH35">SUMPRODUCT(($B35=CapexCategory)*(BH$3=CapExSalvageMonth)*CapexSalvage)</f>
        <v>0</v>
      </c>
      <c r="BI35" s="117" cm="1">
        <f t="array" ref="BI35">SUMPRODUCT(($B35=CapexCategory)*(BI$3=CapExSalvageMonth)*CapexSalvage)</f>
        <v>0</v>
      </c>
      <c r="BJ35" s="117" cm="1">
        <f t="array" ref="BJ35">SUMPRODUCT(($B35=CapexCategory)*(BJ$3=CapExSalvageMonth)*CapexSalvage)</f>
        <v>0</v>
      </c>
      <c r="BK35" s="117" cm="1">
        <f t="array" ref="BK35">SUMPRODUCT(($B35=CapexCategory)*(BK$3=CapExSalvageMonth)*CapexSalvage)</f>
        <v>0</v>
      </c>
      <c r="BL35" s="117" cm="1">
        <f t="array" ref="BL35">SUMPRODUCT(($B35=CapexCategory)*(BL$3=CapExSalvageMonth)*CapexSalvage)</f>
        <v>0</v>
      </c>
      <c r="BM35" s="117" cm="1">
        <f t="array" ref="BM35">SUMPRODUCT(($B35=CapexCategory)*(BM$3=CapExSalvageMonth)*CapexSalvage)</f>
        <v>0</v>
      </c>
      <c r="BN35" s="117" cm="1">
        <f t="array" ref="BN35">SUMPRODUCT(($B35=CapexCategory)*(BN$3=CapExSalvageMonth)*CapexSalvage)</f>
        <v>0</v>
      </c>
      <c r="BO35" s="117" cm="1">
        <f t="array" ref="BO35">SUMPRODUCT(($B35=CapexCategory)*(BO$3=CapExSalvageMonth)*CapexSalvage)</f>
        <v>0</v>
      </c>
      <c r="BP35" s="117" cm="1">
        <f t="array" ref="BP35">SUMPRODUCT(($B35=CapexCategory)*(BP$3=CapExSalvageMonth)*CapexSalvage)</f>
        <v>0</v>
      </c>
      <c r="BQ35" s="117" cm="1">
        <f t="array" ref="BQ35">SUMPRODUCT(($B35=CapexCategory)*(BQ$3=CapExSalvageMonth)*CapexSalvage)</f>
        <v>0</v>
      </c>
      <c r="BR35" s="237" cm="1">
        <f t="array" ref="BR35">SUMPRODUCT(($B35=CapexCategory)*(BR$3=CapExSalvageMonth)*CapexSalvage)</f>
        <v>0</v>
      </c>
    </row>
    <row r="36" spans="1:70" x14ac:dyDescent="0.3">
      <c r="B36" s="159" t="s">
        <v>51</v>
      </c>
      <c r="C36" s="185"/>
      <c r="E36" s="237">
        <f t="shared" si="31"/>
        <v>0</v>
      </c>
      <c r="F36" s="237">
        <f t="shared" si="32"/>
        <v>0</v>
      </c>
      <c r="G36" s="237">
        <f t="shared" si="33"/>
        <v>0</v>
      </c>
      <c r="H36" s="237">
        <f t="shared" si="34"/>
        <v>0</v>
      </c>
      <c r="I36" s="237">
        <f t="shared" si="35"/>
        <v>15</v>
      </c>
      <c r="J36" s="238"/>
      <c r="K36" s="117" cm="1">
        <f t="array" ref="K36">SUMPRODUCT(($B36=CapexCategory)*(K$3=CapExSalvageMonth)*CapexSalvage)</f>
        <v>0</v>
      </c>
      <c r="L36" s="117" cm="1">
        <f t="array" ref="L36">SUMPRODUCT(($B36=CapexCategory)*(L$3=CapExSalvageMonth)*CapexSalvage)</f>
        <v>0</v>
      </c>
      <c r="M36" s="117" cm="1">
        <f t="array" ref="M36">SUMPRODUCT(($B36=CapexCategory)*(M$3=CapExSalvageMonth)*CapexSalvage)</f>
        <v>0</v>
      </c>
      <c r="N36" s="117" cm="1">
        <f t="array" ref="N36">SUMPRODUCT(($B36=CapexCategory)*(N$3=CapExSalvageMonth)*CapexSalvage)</f>
        <v>0</v>
      </c>
      <c r="O36" s="117" cm="1">
        <f t="array" ref="O36">SUMPRODUCT(($B36=CapexCategory)*(O$3=CapExSalvageMonth)*CapexSalvage)</f>
        <v>0</v>
      </c>
      <c r="P36" s="117" cm="1">
        <f t="array" ref="P36">SUMPRODUCT(($B36=CapexCategory)*(P$3=CapExSalvageMonth)*CapexSalvage)</f>
        <v>0</v>
      </c>
      <c r="Q36" s="117" cm="1">
        <f t="array" ref="Q36">SUMPRODUCT(($B36=CapexCategory)*(Q$3=CapExSalvageMonth)*CapexSalvage)</f>
        <v>0</v>
      </c>
      <c r="R36" s="117" cm="1">
        <f t="array" ref="R36">SUMPRODUCT(($B36=CapexCategory)*(R$3=CapExSalvageMonth)*CapexSalvage)</f>
        <v>0</v>
      </c>
      <c r="S36" s="117" cm="1">
        <f t="array" ref="S36">SUMPRODUCT(($B36=CapexCategory)*(S$3=CapExSalvageMonth)*CapexSalvage)</f>
        <v>0</v>
      </c>
      <c r="T36" s="117" cm="1">
        <f t="array" ref="T36">SUMPRODUCT(($B36=CapexCategory)*(T$3=CapExSalvageMonth)*CapexSalvage)</f>
        <v>0</v>
      </c>
      <c r="U36" s="117" cm="1">
        <f t="array" ref="U36">SUMPRODUCT(($B36=CapexCategory)*(U$3=CapExSalvageMonth)*CapexSalvage)</f>
        <v>0</v>
      </c>
      <c r="V36" s="237" cm="1">
        <f t="array" ref="V36">SUMPRODUCT(($B36=CapexCategory)*(V$3=CapExSalvageMonth)*CapexSalvage)</f>
        <v>0</v>
      </c>
      <c r="W36" s="117" cm="1">
        <f t="array" ref="W36">SUMPRODUCT(($B36=CapexCategory)*(W$3=CapExSalvageMonth)*CapexSalvage)</f>
        <v>0</v>
      </c>
      <c r="X36" s="117" cm="1">
        <f t="array" ref="X36">SUMPRODUCT(($B36=CapexCategory)*(X$3=CapExSalvageMonth)*CapexSalvage)</f>
        <v>0</v>
      </c>
      <c r="Y36" s="117" cm="1">
        <f t="array" ref="Y36">SUMPRODUCT(($B36=CapexCategory)*(Y$3=CapExSalvageMonth)*CapexSalvage)</f>
        <v>0</v>
      </c>
      <c r="Z36" s="117" cm="1">
        <f t="array" ref="Z36">SUMPRODUCT(($B36=CapexCategory)*(Z$3=CapExSalvageMonth)*CapexSalvage)</f>
        <v>0</v>
      </c>
      <c r="AA36" s="117" cm="1">
        <f t="array" ref="AA36">SUMPRODUCT(($B36=CapexCategory)*(AA$3=CapExSalvageMonth)*CapexSalvage)</f>
        <v>0</v>
      </c>
      <c r="AB36" s="117" cm="1">
        <f t="array" ref="AB36">SUMPRODUCT(($B36=CapexCategory)*(AB$3=CapExSalvageMonth)*CapexSalvage)</f>
        <v>0</v>
      </c>
      <c r="AC36" s="117" cm="1">
        <f t="array" ref="AC36">SUMPRODUCT(($B36=CapexCategory)*(AC$3=CapExSalvageMonth)*CapexSalvage)</f>
        <v>0</v>
      </c>
      <c r="AD36" s="117" cm="1">
        <f t="array" ref="AD36">SUMPRODUCT(($B36=CapexCategory)*(AD$3=CapExSalvageMonth)*CapexSalvage)</f>
        <v>0</v>
      </c>
      <c r="AE36" s="117" cm="1">
        <f t="array" ref="AE36">SUMPRODUCT(($B36=CapexCategory)*(AE$3=CapExSalvageMonth)*CapexSalvage)</f>
        <v>0</v>
      </c>
      <c r="AF36" s="117" cm="1">
        <f t="array" ref="AF36">SUMPRODUCT(($B36=CapexCategory)*(AF$3=CapExSalvageMonth)*CapexSalvage)</f>
        <v>0</v>
      </c>
      <c r="AG36" s="117" cm="1">
        <f t="array" ref="AG36">SUMPRODUCT(($B36=CapexCategory)*(AG$3=CapExSalvageMonth)*CapexSalvage)</f>
        <v>0</v>
      </c>
      <c r="AH36" s="237" cm="1">
        <f t="array" ref="AH36">SUMPRODUCT(($B36=CapexCategory)*(AH$3=CapExSalvageMonth)*CapexSalvage)</f>
        <v>0</v>
      </c>
      <c r="AI36" s="117" cm="1">
        <f t="array" ref="AI36">SUMPRODUCT(($B36=CapexCategory)*(AI$3=CapExSalvageMonth)*CapexSalvage)</f>
        <v>0</v>
      </c>
      <c r="AJ36" s="117" cm="1">
        <f t="array" ref="AJ36">SUMPRODUCT(($B36=CapexCategory)*(AJ$3=CapExSalvageMonth)*CapexSalvage)</f>
        <v>0</v>
      </c>
      <c r="AK36" s="117" cm="1">
        <f t="array" ref="AK36">SUMPRODUCT(($B36=CapexCategory)*(AK$3=CapExSalvageMonth)*CapexSalvage)</f>
        <v>0</v>
      </c>
      <c r="AL36" s="117" cm="1">
        <f t="array" ref="AL36">SUMPRODUCT(($B36=CapexCategory)*(AL$3=CapExSalvageMonth)*CapexSalvage)</f>
        <v>0</v>
      </c>
      <c r="AM36" s="117" cm="1">
        <f t="array" ref="AM36">SUMPRODUCT(($B36=CapexCategory)*(AM$3=CapExSalvageMonth)*CapexSalvage)</f>
        <v>0</v>
      </c>
      <c r="AN36" s="117" cm="1">
        <f t="array" ref="AN36">SUMPRODUCT(($B36=CapexCategory)*(AN$3=CapExSalvageMonth)*CapexSalvage)</f>
        <v>0</v>
      </c>
      <c r="AO36" s="117" cm="1">
        <f t="array" ref="AO36">SUMPRODUCT(($B36=CapexCategory)*(AO$3=CapExSalvageMonth)*CapexSalvage)</f>
        <v>0</v>
      </c>
      <c r="AP36" s="117" cm="1">
        <f t="array" ref="AP36">SUMPRODUCT(($B36=CapexCategory)*(AP$3=CapExSalvageMonth)*CapexSalvage)</f>
        <v>0</v>
      </c>
      <c r="AQ36" s="117" cm="1">
        <f t="array" ref="AQ36">SUMPRODUCT(($B36=CapexCategory)*(AQ$3=CapExSalvageMonth)*CapexSalvage)</f>
        <v>0</v>
      </c>
      <c r="AR36" s="117" cm="1">
        <f t="array" ref="AR36">SUMPRODUCT(($B36=CapexCategory)*(AR$3=CapExSalvageMonth)*CapexSalvage)</f>
        <v>0</v>
      </c>
      <c r="AS36" s="117" cm="1">
        <f t="array" ref="AS36">SUMPRODUCT(($B36=CapexCategory)*(AS$3=CapExSalvageMonth)*CapexSalvage)</f>
        <v>0</v>
      </c>
      <c r="AT36" s="237" cm="1">
        <f t="array" ref="AT36">SUMPRODUCT(($B36=CapexCategory)*(AT$3=CapExSalvageMonth)*CapexSalvage)</f>
        <v>0</v>
      </c>
      <c r="AU36" s="117" cm="1">
        <f t="array" ref="AU36">SUMPRODUCT(($B36=CapexCategory)*(AU$3=CapExSalvageMonth)*CapexSalvage)</f>
        <v>0</v>
      </c>
      <c r="AV36" s="117" cm="1">
        <f t="array" ref="AV36">SUMPRODUCT(($B36=CapexCategory)*(AV$3=CapExSalvageMonth)*CapexSalvage)</f>
        <v>0</v>
      </c>
      <c r="AW36" s="117" cm="1">
        <f t="array" ref="AW36">SUMPRODUCT(($B36=CapexCategory)*(AW$3=CapExSalvageMonth)*CapexSalvage)</f>
        <v>0</v>
      </c>
      <c r="AX36" s="117" cm="1">
        <f t="array" ref="AX36">SUMPRODUCT(($B36=CapexCategory)*(AX$3=CapExSalvageMonth)*CapexSalvage)</f>
        <v>0</v>
      </c>
      <c r="AY36" s="117" cm="1">
        <f t="array" ref="AY36">SUMPRODUCT(($B36=CapexCategory)*(AY$3=CapExSalvageMonth)*CapexSalvage)</f>
        <v>0</v>
      </c>
      <c r="AZ36" s="117" cm="1">
        <f t="array" ref="AZ36">SUMPRODUCT(($B36=CapexCategory)*(AZ$3=CapExSalvageMonth)*CapexSalvage)</f>
        <v>0</v>
      </c>
      <c r="BA36" s="117" cm="1">
        <f t="array" ref="BA36">SUMPRODUCT(($B36=CapexCategory)*(BA$3=CapExSalvageMonth)*CapexSalvage)</f>
        <v>0</v>
      </c>
      <c r="BB36" s="117" cm="1">
        <f t="array" ref="BB36">SUMPRODUCT(($B36=CapexCategory)*(BB$3=CapExSalvageMonth)*CapexSalvage)</f>
        <v>0</v>
      </c>
      <c r="BC36" s="117" cm="1">
        <f t="array" ref="BC36">SUMPRODUCT(($B36=CapexCategory)*(BC$3=CapExSalvageMonth)*CapexSalvage)</f>
        <v>0</v>
      </c>
      <c r="BD36" s="117" cm="1">
        <f t="array" ref="BD36">SUMPRODUCT(($B36=CapexCategory)*(BD$3=CapExSalvageMonth)*CapexSalvage)</f>
        <v>0</v>
      </c>
      <c r="BE36" s="117" cm="1">
        <f t="array" ref="BE36">SUMPRODUCT(($B36=CapexCategory)*(BE$3=CapExSalvageMonth)*CapexSalvage)</f>
        <v>0</v>
      </c>
      <c r="BF36" s="237" cm="1">
        <f t="array" ref="BF36">SUMPRODUCT(($B36=CapexCategory)*(BF$3=CapExSalvageMonth)*CapexSalvage)</f>
        <v>0</v>
      </c>
      <c r="BG36" s="117" cm="1">
        <f t="array" ref="BG36">SUMPRODUCT(($B36=CapexCategory)*(BG$3=CapExSalvageMonth)*CapexSalvage)</f>
        <v>0</v>
      </c>
      <c r="BH36" s="117" cm="1">
        <f t="array" ref="BH36">SUMPRODUCT(($B36=CapexCategory)*(BH$3=CapExSalvageMonth)*CapexSalvage)</f>
        <v>0</v>
      </c>
      <c r="BI36" s="117" cm="1">
        <f t="array" ref="BI36">SUMPRODUCT(($B36=CapexCategory)*(BI$3=CapExSalvageMonth)*CapexSalvage)</f>
        <v>0</v>
      </c>
      <c r="BJ36" s="117" cm="1">
        <f t="array" ref="BJ36">SUMPRODUCT(($B36=CapexCategory)*(BJ$3=CapExSalvageMonth)*CapexSalvage)</f>
        <v>0</v>
      </c>
      <c r="BK36" s="117" cm="1">
        <f t="array" ref="BK36">SUMPRODUCT(($B36=CapexCategory)*(BK$3=CapExSalvageMonth)*CapexSalvage)</f>
        <v>0</v>
      </c>
      <c r="BL36" s="117" cm="1">
        <f t="array" ref="BL36">SUMPRODUCT(($B36=CapexCategory)*(BL$3=CapExSalvageMonth)*CapexSalvage)</f>
        <v>0</v>
      </c>
      <c r="BM36" s="117" cm="1">
        <f t="array" ref="BM36">SUMPRODUCT(($B36=CapexCategory)*(BM$3=CapExSalvageMonth)*CapexSalvage)</f>
        <v>15</v>
      </c>
      <c r="BN36" s="117" cm="1">
        <f t="array" ref="BN36">SUMPRODUCT(($B36=CapexCategory)*(BN$3=CapExSalvageMonth)*CapexSalvage)</f>
        <v>0</v>
      </c>
      <c r="BO36" s="117" cm="1">
        <f t="array" ref="BO36">SUMPRODUCT(($B36=CapexCategory)*(BO$3=CapExSalvageMonth)*CapexSalvage)</f>
        <v>0</v>
      </c>
      <c r="BP36" s="117" cm="1">
        <f t="array" ref="BP36">SUMPRODUCT(($B36=CapexCategory)*(BP$3=CapExSalvageMonth)*CapexSalvage)</f>
        <v>0</v>
      </c>
      <c r="BQ36" s="117" cm="1">
        <f t="array" ref="BQ36">SUMPRODUCT(($B36=CapexCategory)*(BQ$3=CapExSalvageMonth)*CapexSalvage)</f>
        <v>0</v>
      </c>
      <c r="BR36" s="237" cm="1">
        <f t="array" ref="BR36">SUMPRODUCT(($B36=CapexCategory)*(BR$3=CapExSalvageMonth)*CapexSalvage)</f>
        <v>0</v>
      </c>
    </row>
    <row r="37" spans="1:70" x14ac:dyDescent="0.3">
      <c r="B37" s="159" t="s">
        <v>56</v>
      </c>
      <c r="C37" s="185"/>
      <c r="E37" s="237">
        <f t="shared" si="31"/>
        <v>0</v>
      </c>
      <c r="F37" s="237">
        <f t="shared" si="32"/>
        <v>0</v>
      </c>
      <c r="G37" s="237">
        <f t="shared" si="33"/>
        <v>0</v>
      </c>
      <c r="H37" s="237">
        <f t="shared" si="34"/>
        <v>0</v>
      </c>
      <c r="I37" s="237">
        <f t="shared" si="35"/>
        <v>0</v>
      </c>
      <c r="J37" s="238"/>
      <c r="K37" s="117" cm="1">
        <f t="array" ref="K37">SUMPRODUCT(($B37=CapexCategory)*(K$3=CapExSalvageMonth)*CapexSalvage)</f>
        <v>0</v>
      </c>
      <c r="L37" s="117" cm="1">
        <f t="array" ref="L37">SUMPRODUCT(($B37=CapexCategory)*(L$3=CapExSalvageMonth)*CapexSalvage)</f>
        <v>0</v>
      </c>
      <c r="M37" s="117" cm="1">
        <f t="array" ref="M37">SUMPRODUCT(($B37=CapexCategory)*(M$3=CapExSalvageMonth)*CapexSalvage)</f>
        <v>0</v>
      </c>
      <c r="N37" s="117" cm="1">
        <f t="array" ref="N37">SUMPRODUCT(($B37=CapexCategory)*(N$3=CapExSalvageMonth)*CapexSalvage)</f>
        <v>0</v>
      </c>
      <c r="O37" s="117" cm="1">
        <f t="array" ref="O37">SUMPRODUCT(($B37=CapexCategory)*(O$3=CapExSalvageMonth)*CapexSalvage)</f>
        <v>0</v>
      </c>
      <c r="P37" s="117" cm="1">
        <f t="array" ref="P37">SUMPRODUCT(($B37=CapexCategory)*(P$3=CapExSalvageMonth)*CapexSalvage)</f>
        <v>0</v>
      </c>
      <c r="Q37" s="117" cm="1">
        <f t="array" ref="Q37">SUMPRODUCT(($B37=CapexCategory)*(Q$3=CapExSalvageMonth)*CapexSalvage)</f>
        <v>0</v>
      </c>
      <c r="R37" s="117" cm="1">
        <f t="array" ref="R37">SUMPRODUCT(($B37=CapexCategory)*(R$3=CapExSalvageMonth)*CapexSalvage)</f>
        <v>0</v>
      </c>
      <c r="S37" s="117" cm="1">
        <f t="array" ref="S37">SUMPRODUCT(($B37=CapexCategory)*(S$3=CapExSalvageMonth)*CapexSalvage)</f>
        <v>0</v>
      </c>
      <c r="T37" s="117" cm="1">
        <f t="array" ref="T37">SUMPRODUCT(($B37=CapexCategory)*(T$3=CapExSalvageMonth)*CapexSalvage)</f>
        <v>0</v>
      </c>
      <c r="U37" s="117" cm="1">
        <f t="array" ref="U37">SUMPRODUCT(($B37=CapexCategory)*(U$3=CapExSalvageMonth)*CapexSalvage)</f>
        <v>0</v>
      </c>
      <c r="V37" s="237" cm="1">
        <f t="array" ref="V37">SUMPRODUCT(($B37=CapexCategory)*(V$3=CapExSalvageMonth)*CapexSalvage)</f>
        <v>0</v>
      </c>
      <c r="W37" s="117" cm="1">
        <f t="array" ref="W37">SUMPRODUCT(($B37=CapexCategory)*(W$3=CapExSalvageMonth)*CapexSalvage)</f>
        <v>0</v>
      </c>
      <c r="X37" s="117" cm="1">
        <f t="array" ref="X37">SUMPRODUCT(($B37=CapexCategory)*(X$3=CapExSalvageMonth)*CapexSalvage)</f>
        <v>0</v>
      </c>
      <c r="Y37" s="117" cm="1">
        <f t="array" ref="Y37">SUMPRODUCT(($B37=CapexCategory)*(Y$3=CapExSalvageMonth)*CapexSalvage)</f>
        <v>0</v>
      </c>
      <c r="Z37" s="117" cm="1">
        <f t="array" ref="Z37">SUMPRODUCT(($B37=CapexCategory)*(Z$3=CapExSalvageMonth)*CapexSalvage)</f>
        <v>0</v>
      </c>
      <c r="AA37" s="117" cm="1">
        <f t="array" ref="AA37">SUMPRODUCT(($B37=CapexCategory)*(AA$3=CapExSalvageMonth)*CapexSalvage)</f>
        <v>0</v>
      </c>
      <c r="AB37" s="117" cm="1">
        <f t="array" ref="AB37">SUMPRODUCT(($B37=CapexCategory)*(AB$3=CapExSalvageMonth)*CapexSalvage)</f>
        <v>0</v>
      </c>
      <c r="AC37" s="117" cm="1">
        <f t="array" ref="AC37">SUMPRODUCT(($B37=CapexCategory)*(AC$3=CapExSalvageMonth)*CapexSalvage)</f>
        <v>0</v>
      </c>
      <c r="AD37" s="117" cm="1">
        <f t="array" ref="AD37">SUMPRODUCT(($B37=CapexCategory)*(AD$3=CapExSalvageMonth)*CapexSalvage)</f>
        <v>0</v>
      </c>
      <c r="AE37" s="117" cm="1">
        <f t="array" ref="AE37">SUMPRODUCT(($B37=CapexCategory)*(AE$3=CapExSalvageMonth)*CapexSalvage)</f>
        <v>0</v>
      </c>
      <c r="AF37" s="117" cm="1">
        <f t="array" ref="AF37">SUMPRODUCT(($B37=CapexCategory)*(AF$3=CapExSalvageMonth)*CapexSalvage)</f>
        <v>0</v>
      </c>
      <c r="AG37" s="117" cm="1">
        <f t="array" ref="AG37">SUMPRODUCT(($B37=CapexCategory)*(AG$3=CapExSalvageMonth)*CapexSalvage)</f>
        <v>0</v>
      </c>
      <c r="AH37" s="237" cm="1">
        <f t="array" ref="AH37">SUMPRODUCT(($B37=CapexCategory)*(AH$3=CapExSalvageMonth)*CapexSalvage)</f>
        <v>0</v>
      </c>
      <c r="AI37" s="117" cm="1">
        <f t="array" ref="AI37">SUMPRODUCT(($B37=CapexCategory)*(AI$3=CapExSalvageMonth)*CapexSalvage)</f>
        <v>0</v>
      </c>
      <c r="AJ37" s="117" cm="1">
        <f t="array" ref="AJ37">SUMPRODUCT(($B37=CapexCategory)*(AJ$3=CapExSalvageMonth)*CapexSalvage)</f>
        <v>0</v>
      </c>
      <c r="AK37" s="117" cm="1">
        <f t="array" ref="AK37">SUMPRODUCT(($B37=CapexCategory)*(AK$3=CapExSalvageMonth)*CapexSalvage)</f>
        <v>0</v>
      </c>
      <c r="AL37" s="117" cm="1">
        <f t="array" ref="AL37">SUMPRODUCT(($B37=CapexCategory)*(AL$3=CapExSalvageMonth)*CapexSalvage)</f>
        <v>0</v>
      </c>
      <c r="AM37" s="117" cm="1">
        <f t="array" ref="AM37">SUMPRODUCT(($B37=CapexCategory)*(AM$3=CapExSalvageMonth)*CapexSalvage)</f>
        <v>0</v>
      </c>
      <c r="AN37" s="117" cm="1">
        <f t="array" ref="AN37">SUMPRODUCT(($B37=CapexCategory)*(AN$3=CapExSalvageMonth)*CapexSalvage)</f>
        <v>0</v>
      </c>
      <c r="AO37" s="117" cm="1">
        <f t="array" ref="AO37">SUMPRODUCT(($B37=CapexCategory)*(AO$3=CapExSalvageMonth)*CapexSalvage)</f>
        <v>0</v>
      </c>
      <c r="AP37" s="117" cm="1">
        <f t="array" ref="AP37">SUMPRODUCT(($B37=CapexCategory)*(AP$3=CapExSalvageMonth)*CapexSalvage)</f>
        <v>0</v>
      </c>
      <c r="AQ37" s="117" cm="1">
        <f t="array" ref="AQ37">SUMPRODUCT(($B37=CapexCategory)*(AQ$3=CapExSalvageMonth)*CapexSalvage)</f>
        <v>0</v>
      </c>
      <c r="AR37" s="117" cm="1">
        <f t="array" ref="AR37">SUMPRODUCT(($B37=CapexCategory)*(AR$3=CapExSalvageMonth)*CapexSalvage)</f>
        <v>0</v>
      </c>
      <c r="AS37" s="117" cm="1">
        <f t="array" ref="AS37">SUMPRODUCT(($B37=CapexCategory)*(AS$3=CapExSalvageMonth)*CapexSalvage)</f>
        <v>0</v>
      </c>
      <c r="AT37" s="237" cm="1">
        <f t="array" ref="AT37">SUMPRODUCT(($B37=CapexCategory)*(AT$3=CapExSalvageMonth)*CapexSalvage)</f>
        <v>0</v>
      </c>
      <c r="AU37" s="117" cm="1">
        <f t="array" ref="AU37">SUMPRODUCT(($B37=CapexCategory)*(AU$3=CapExSalvageMonth)*CapexSalvage)</f>
        <v>0</v>
      </c>
      <c r="AV37" s="117" cm="1">
        <f t="array" ref="AV37">SUMPRODUCT(($B37=CapexCategory)*(AV$3=CapExSalvageMonth)*CapexSalvage)</f>
        <v>0</v>
      </c>
      <c r="AW37" s="117" cm="1">
        <f t="array" ref="AW37">SUMPRODUCT(($B37=CapexCategory)*(AW$3=CapExSalvageMonth)*CapexSalvage)</f>
        <v>0</v>
      </c>
      <c r="AX37" s="117" cm="1">
        <f t="array" ref="AX37">SUMPRODUCT(($B37=CapexCategory)*(AX$3=CapExSalvageMonth)*CapexSalvage)</f>
        <v>0</v>
      </c>
      <c r="AY37" s="117" cm="1">
        <f t="array" ref="AY37">SUMPRODUCT(($B37=CapexCategory)*(AY$3=CapExSalvageMonth)*CapexSalvage)</f>
        <v>0</v>
      </c>
      <c r="AZ37" s="117" cm="1">
        <f t="array" ref="AZ37">SUMPRODUCT(($B37=CapexCategory)*(AZ$3=CapExSalvageMonth)*CapexSalvage)</f>
        <v>0</v>
      </c>
      <c r="BA37" s="117" cm="1">
        <f t="array" ref="BA37">SUMPRODUCT(($B37=CapexCategory)*(BA$3=CapExSalvageMonth)*CapexSalvage)</f>
        <v>0</v>
      </c>
      <c r="BB37" s="117" cm="1">
        <f t="array" ref="BB37">SUMPRODUCT(($B37=CapexCategory)*(BB$3=CapExSalvageMonth)*CapexSalvage)</f>
        <v>0</v>
      </c>
      <c r="BC37" s="117" cm="1">
        <f t="array" ref="BC37">SUMPRODUCT(($B37=CapexCategory)*(BC$3=CapExSalvageMonth)*CapexSalvage)</f>
        <v>0</v>
      </c>
      <c r="BD37" s="117" cm="1">
        <f t="array" ref="BD37">SUMPRODUCT(($B37=CapexCategory)*(BD$3=CapExSalvageMonth)*CapexSalvage)</f>
        <v>0</v>
      </c>
      <c r="BE37" s="117" cm="1">
        <f t="array" ref="BE37">SUMPRODUCT(($B37=CapexCategory)*(BE$3=CapExSalvageMonth)*CapexSalvage)</f>
        <v>0</v>
      </c>
      <c r="BF37" s="237" cm="1">
        <f t="array" ref="BF37">SUMPRODUCT(($B37=CapexCategory)*(BF$3=CapExSalvageMonth)*CapexSalvage)</f>
        <v>0</v>
      </c>
      <c r="BG37" s="117" cm="1">
        <f t="array" ref="BG37">SUMPRODUCT(($B37=CapexCategory)*(BG$3=CapExSalvageMonth)*CapexSalvage)</f>
        <v>0</v>
      </c>
      <c r="BH37" s="117" cm="1">
        <f t="array" ref="BH37">SUMPRODUCT(($B37=CapexCategory)*(BH$3=CapExSalvageMonth)*CapexSalvage)</f>
        <v>0</v>
      </c>
      <c r="BI37" s="117" cm="1">
        <f t="array" ref="BI37">SUMPRODUCT(($B37=CapexCategory)*(BI$3=CapExSalvageMonth)*CapexSalvage)</f>
        <v>0</v>
      </c>
      <c r="BJ37" s="117" cm="1">
        <f t="array" ref="BJ37">SUMPRODUCT(($B37=CapexCategory)*(BJ$3=CapExSalvageMonth)*CapexSalvage)</f>
        <v>0</v>
      </c>
      <c r="BK37" s="117" cm="1">
        <f t="array" ref="BK37">SUMPRODUCT(($B37=CapexCategory)*(BK$3=CapExSalvageMonth)*CapexSalvage)</f>
        <v>0</v>
      </c>
      <c r="BL37" s="117" cm="1">
        <f t="array" ref="BL37">SUMPRODUCT(($B37=CapexCategory)*(BL$3=CapExSalvageMonth)*CapexSalvage)</f>
        <v>0</v>
      </c>
      <c r="BM37" s="117" cm="1">
        <f t="array" ref="BM37">SUMPRODUCT(($B37=CapexCategory)*(BM$3=CapExSalvageMonth)*CapexSalvage)</f>
        <v>0</v>
      </c>
      <c r="BN37" s="117" cm="1">
        <f t="array" ref="BN37">SUMPRODUCT(($B37=CapexCategory)*(BN$3=CapExSalvageMonth)*CapexSalvage)</f>
        <v>0</v>
      </c>
      <c r="BO37" s="117" cm="1">
        <f t="array" ref="BO37">SUMPRODUCT(($B37=CapexCategory)*(BO$3=CapExSalvageMonth)*CapexSalvage)</f>
        <v>0</v>
      </c>
      <c r="BP37" s="117" cm="1">
        <f t="array" ref="BP37">SUMPRODUCT(($B37=CapexCategory)*(BP$3=CapExSalvageMonth)*CapexSalvage)</f>
        <v>0</v>
      </c>
      <c r="BQ37" s="117" cm="1">
        <f t="array" ref="BQ37">SUMPRODUCT(($B37=CapexCategory)*(BQ$3=CapExSalvageMonth)*CapexSalvage)</f>
        <v>0</v>
      </c>
      <c r="BR37" s="237" cm="1">
        <f t="array" ref="BR37">SUMPRODUCT(($B37=CapexCategory)*(BR$3=CapExSalvageMonth)*CapexSalvage)</f>
        <v>0</v>
      </c>
    </row>
    <row r="38" spans="1:70" x14ac:dyDescent="0.3">
      <c r="B38" s="159" t="s">
        <v>60</v>
      </c>
      <c r="C38" s="185"/>
      <c r="E38" s="237">
        <f t="shared" si="31"/>
        <v>18</v>
      </c>
      <c r="F38" s="237">
        <f t="shared" si="32"/>
        <v>0</v>
      </c>
      <c r="G38" s="237">
        <f t="shared" si="33"/>
        <v>0</v>
      </c>
      <c r="H38" s="237">
        <f t="shared" si="34"/>
        <v>0</v>
      </c>
      <c r="I38" s="237">
        <f t="shared" si="35"/>
        <v>0</v>
      </c>
      <c r="J38" s="238"/>
      <c r="K38" s="117" cm="1">
        <f t="array" ref="K38">SUMPRODUCT(($B38=CapexCategory)*(K$3=CapExSalvageMonth)*CapexSalvage)</f>
        <v>0</v>
      </c>
      <c r="L38" s="117" cm="1">
        <f t="array" ref="L38">SUMPRODUCT(($B38=CapexCategory)*(L$3=CapExSalvageMonth)*CapexSalvage)</f>
        <v>0</v>
      </c>
      <c r="M38" s="117" cm="1">
        <f t="array" ref="M38">SUMPRODUCT(($B38=CapexCategory)*(M$3=CapExSalvageMonth)*CapexSalvage)</f>
        <v>0</v>
      </c>
      <c r="N38" s="117" cm="1">
        <f t="array" ref="N38">SUMPRODUCT(($B38=CapexCategory)*(N$3=CapExSalvageMonth)*CapexSalvage)</f>
        <v>0</v>
      </c>
      <c r="O38" s="117" cm="1">
        <f t="array" ref="O38">SUMPRODUCT(($B38=CapexCategory)*(O$3=CapExSalvageMonth)*CapexSalvage)</f>
        <v>0</v>
      </c>
      <c r="P38" s="117" cm="1">
        <f t="array" ref="P38">SUMPRODUCT(($B38=CapexCategory)*(P$3=CapExSalvageMonth)*CapexSalvage)</f>
        <v>0</v>
      </c>
      <c r="Q38" s="117" cm="1">
        <f t="array" ref="Q38">SUMPRODUCT(($B38=CapexCategory)*(Q$3=CapExSalvageMonth)*CapexSalvage)</f>
        <v>0</v>
      </c>
      <c r="R38" s="117" cm="1">
        <f t="array" ref="R38">SUMPRODUCT(($B38=CapexCategory)*(R$3=CapExSalvageMonth)*CapexSalvage)</f>
        <v>0</v>
      </c>
      <c r="S38" s="117" cm="1">
        <f t="array" ref="S38">SUMPRODUCT(($B38=CapexCategory)*(S$3=CapExSalvageMonth)*CapexSalvage)</f>
        <v>0</v>
      </c>
      <c r="T38" s="117" cm="1">
        <f t="array" ref="T38">SUMPRODUCT(($B38=CapexCategory)*(T$3=CapExSalvageMonth)*CapexSalvage)</f>
        <v>0</v>
      </c>
      <c r="U38" s="117" cm="1">
        <f t="array" ref="U38">SUMPRODUCT(($B38=CapexCategory)*(U$3=CapExSalvageMonth)*CapexSalvage)</f>
        <v>0</v>
      </c>
      <c r="V38" s="237" cm="1">
        <f t="array" ref="V38">SUMPRODUCT(($B38=CapexCategory)*(V$3=CapExSalvageMonth)*CapexSalvage)</f>
        <v>18</v>
      </c>
      <c r="W38" s="117" cm="1">
        <f t="array" ref="W38">SUMPRODUCT(($B38=CapexCategory)*(W$3=CapExSalvageMonth)*CapexSalvage)</f>
        <v>0</v>
      </c>
      <c r="X38" s="117" cm="1">
        <f t="array" ref="X38">SUMPRODUCT(($B38=CapexCategory)*(X$3=CapExSalvageMonth)*CapexSalvage)</f>
        <v>0</v>
      </c>
      <c r="Y38" s="117" cm="1">
        <f t="array" ref="Y38">SUMPRODUCT(($B38=CapexCategory)*(Y$3=CapExSalvageMonth)*CapexSalvage)</f>
        <v>0</v>
      </c>
      <c r="Z38" s="117" cm="1">
        <f t="array" ref="Z38">SUMPRODUCT(($B38=CapexCategory)*(Z$3=CapExSalvageMonth)*CapexSalvage)</f>
        <v>0</v>
      </c>
      <c r="AA38" s="117" cm="1">
        <f t="array" ref="AA38">SUMPRODUCT(($B38=CapexCategory)*(AA$3=CapExSalvageMonth)*CapexSalvage)</f>
        <v>0</v>
      </c>
      <c r="AB38" s="117" cm="1">
        <f t="array" ref="AB38">SUMPRODUCT(($B38=CapexCategory)*(AB$3=CapExSalvageMonth)*CapexSalvage)</f>
        <v>0</v>
      </c>
      <c r="AC38" s="117" cm="1">
        <f t="array" ref="AC38">SUMPRODUCT(($B38=CapexCategory)*(AC$3=CapExSalvageMonth)*CapexSalvage)</f>
        <v>0</v>
      </c>
      <c r="AD38" s="117" cm="1">
        <f t="array" ref="AD38">SUMPRODUCT(($B38=CapexCategory)*(AD$3=CapExSalvageMonth)*CapexSalvage)</f>
        <v>0</v>
      </c>
      <c r="AE38" s="117" cm="1">
        <f t="array" ref="AE38">SUMPRODUCT(($B38=CapexCategory)*(AE$3=CapExSalvageMonth)*CapexSalvage)</f>
        <v>0</v>
      </c>
      <c r="AF38" s="117" cm="1">
        <f t="array" ref="AF38">SUMPRODUCT(($B38=CapexCategory)*(AF$3=CapExSalvageMonth)*CapexSalvage)</f>
        <v>0</v>
      </c>
      <c r="AG38" s="117" cm="1">
        <f t="array" ref="AG38">SUMPRODUCT(($B38=CapexCategory)*(AG$3=CapExSalvageMonth)*CapexSalvage)</f>
        <v>0</v>
      </c>
      <c r="AH38" s="237" cm="1">
        <f t="array" ref="AH38">SUMPRODUCT(($B38=CapexCategory)*(AH$3=CapExSalvageMonth)*CapexSalvage)</f>
        <v>0</v>
      </c>
      <c r="AI38" s="117" cm="1">
        <f t="array" ref="AI38">SUMPRODUCT(($B38=CapexCategory)*(AI$3=CapExSalvageMonth)*CapexSalvage)</f>
        <v>0</v>
      </c>
      <c r="AJ38" s="117" cm="1">
        <f t="array" ref="AJ38">SUMPRODUCT(($B38=CapexCategory)*(AJ$3=CapExSalvageMonth)*CapexSalvage)</f>
        <v>0</v>
      </c>
      <c r="AK38" s="117" cm="1">
        <f t="array" ref="AK38">SUMPRODUCT(($B38=CapexCategory)*(AK$3=CapExSalvageMonth)*CapexSalvage)</f>
        <v>0</v>
      </c>
      <c r="AL38" s="117" cm="1">
        <f t="array" ref="AL38">SUMPRODUCT(($B38=CapexCategory)*(AL$3=CapExSalvageMonth)*CapexSalvage)</f>
        <v>0</v>
      </c>
      <c r="AM38" s="117" cm="1">
        <f t="array" ref="AM38">SUMPRODUCT(($B38=CapexCategory)*(AM$3=CapExSalvageMonth)*CapexSalvage)</f>
        <v>0</v>
      </c>
      <c r="AN38" s="117" cm="1">
        <f t="array" ref="AN38">SUMPRODUCT(($B38=CapexCategory)*(AN$3=CapExSalvageMonth)*CapexSalvage)</f>
        <v>0</v>
      </c>
      <c r="AO38" s="117" cm="1">
        <f t="array" ref="AO38">SUMPRODUCT(($B38=CapexCategory)*(AO$3=CapExSalvageMonth)*CapexSalvage)</f>
        <v>0</v>
      </c>
      <c r="AP38" s="117" cm="1">
        <f t="array" ref="AP38">SUMPRODUCT(($B38=CapexCategory)*(AP$3=CapExSalvageMonth)*CapexSalvage)</f>
        <v>0</v>
      </c>
      <c r="AQ38" s="117" cm="1">
        <f t="array" ref="AQ38">SUMPRODUCT(($B38=CapexCategory)*(AQ$3=CapExSalvageMonth)*CapexSalvage)</f>
        <v>0</v>
      </c>
      <c r="AR38" s="117" cm="1">
        <f t="array" ref="AR38">SUMPRODUCT(($B38=CapexCategory)*(AR$3=CapExSalvageMonth)*CapexSalvage)</f>
        <v>0</v>
      </c>
      <c r="AS38" s="117" cm="1">
        <f t="array" ref="AS38">SUMPRODUCT(($B38=CapexCategory)*(AS$3=CapExSalvageMonth)*CapexSalvage)</f>
        <v>0</v>
      </c>
      <c r="AT38" s="237" cm="1">
        <f t="array" ref="AT38">SUMPRODUCT(($B38=CapexCategory)*(AT$3=CapExSalvageMonth)*CapexSalvage)</f>
        <v>0</v>
      </c>
      <c r="AU38" s="117" cm="1">
        <f t="array" ref="AU38">SUMPRODUCT(($B38=CapexCategory)*(AU$3=CapExSalvageMonth)*CapexSalvage)</f>
        <v>0</v>
      </c>
      <c r="AV38" s="117" cm="1">
        <f t="array" ref="AV38">SUMPRODUCT(($B38=CapexCategory)*(AV$3=CapExSalvageMonth)*CapexSalvage)</f>
        <v>0</v>
      </c>
      <c r="AW38" s="117" cm="1">
        <f t="array" ref="AW38">SUMPRODUCT(($B38=CapexCategory)*(AW$3=CapExSalvageMonth)*CapexSalvage)</f>
        <v>0</v>
      </c>
      <c r="AX38" s="117" cm="1">
        <f t="array" ref="AX38">SUMPRODUCT(($B38=CapexCategory)*(AX$3=CapExSalvageMonth)*CapexSalvage)</f>
        <v>0</v>
      </c>
      <c r="AY38" s="117" cm="1">
        <f t="array" ref="AY38">SUMPRODUCT(($B38=CapexCategory)*(AY$3=CapExSalvageMonth)*CapexSalvage)</f>
        <v>0</v>
      </c>
      <c r="AZ38" s="117" cm="1">
        <f t="array" ref="AZ38">SUMPRODUCT(($B38=CapexCategory)*(AZ$3=CapExSalvageMonth)*CapexSalvage)</f>
        <v>0</v>
      </c>
      <c r="BA38" s="117" cm="1">
        <f t="array" ref="BA38">SUMPRODUCT(($B38=CapexCategory)*(BA$3=CapExSalvageMonth)*CapexSalvage)</f>
        <v>0</v>
      </c>
      <c r="BB38" s="117" cm="1">
        <f t="array" ref="BB38">SUMPRODUCT(($B38=CapexCategory)*(BB$3=CapExSalvageMonth)*CapexSalvage)</f>
        <v>0</v>
      </c>
      <c r="BC38" s="117" cm="1">
        <f t="array" ref="BC38">SUMPRODUCT(($B38=CapexCategory)*(BC$3=CapExSalvageMonth)*CapexSalvage)</f>
        <v>0</v>
      </c>
      <c r="BD38" s="117" cm="1">
        <f t="array" ref="BD38">SUMPRODUCT(($B38=CapexCategory)*(BD$3=CapExSalvageMonth)*CapexSalvage)</f>
        <v>0</v>
      </c>
      <c r="BE38" s="117" cm="1">
        <f t="array" ref="BE38">SUMPRODUCT(($B38=CapexCategory)*(BE$3=CapExSalvageMonth)*CapexSalvage)</f>
        <v>0</v>
      </c>
      <c r="BF38" s="237" cm="1">
        <f t="array" ref="BF38">SUMPRODUCT(($B38=CapexCategory)*(BF$3=CapExSalvageMonth)*CapexSalvage)</f>
        <v>0</v>
      </c>
      <c r="BG38" s="117" cm="1">
        <f t="array" ref="BG38">SUMPRODUCT(($B38=CapexCategory)*(BG$3=CapExSalvageMonth)*CapexSalvage)</f>
        <v>0</v>
      </c>
      <c r="BH38" s="117" cm="1">
        <f t="array" ref="BH38">SUMPRODUCT(($B38=CapexCategory)*(BH$3=CapExSalvageMonth)*CapexSalvage)</f>
        <v>0</v>
      </c>
      <c r="BI38" s="117" cm="1">
        <f t="array" ref="BI38">SUMPRODUCT(($B38=CapexCategory)*(BI$3=CapExSalvageMonth)*CapexSalvage)</f>
        <v>0</v>
      </c>
      <c r="BJ38" s="117" cm="1">
        <f t="array" ref="BJ38">SUMPRODUCT(($B38=CapexCategory)*(BJ$3=CapExSalvageMonth)*CapexSalvage)</f>
        <v>0</v>
      </c>
      <c r="BK38" s="117" cm="1">
        <f t="array" ref="BK38">SUMPRODUCT(($B38=CapexCategory)*(BK$3=CapExSalvageMonth)*CapexSalvage)</f>
        <v>0</v>
      </c>
      <c r="BL38" s="117" cm="1">
        <f t="array" ref="BL38">SUMPRODUCT(($B38=CapexCategory)*(BL$3=CapExSalvageMonth)*CapexSalvage)</f>
        <v>0</v>
      </c>
      <c r="BM38" s="117" cm="1">
        <f t="array" ref="BM38">SUMPRODUCT(($B38=CapexCategory)*(BM$3=CapExSalvageMonth)*CapexSalvage)</f>
        <v>0</v>
      </c>
      <c r="BN38" s="117" cm="1">
        <f t="array" ref="BN38">SUMPRODUCT(($B38=CapexCategory)*(BN$3=CapExSalvageMonth)*CapexSalvage)</f>
        <v>0</v>
      </c>
      <c r="BO38" s="117" cm="1">
        <f t="array" ref="BO38">SUMPRODUCT(($B38=CapexCategory)*(BO$3=CapExSalvageMonth)*CapexSalvage)</f>
        <v>0</v>
      </c>
      <c r="BP38" s="117" cm="1">
        <f t="array" ref="BP38">SUMPRODUCT(($B38=CapexCategory)*(BP$3=CapExSalvageMonth)*CapexSalvage)</f>
        <v>0</v>
      </c>
      <c r="BQ38" s="117" cm="1">
        <f t="array" ref="BQ38">SUMPRODUCT(($B38=CapexCategory)*(BQ$3=CapExSalvageMonth)*CapexSalvage)</f>
        <v>0</v>
      </c>
      <c r="BR38" s="237" cm="1">
        <f t="array" ref="BR38">SUMPRODUCT(($B38=CapexCategory)*(BR$3=CapExSalvageMonth)*CapexSalvage)</f>
        <v>0</v>
      </c>
    </row>
    <row r="39" spans="1:70" x14ac:dyDescent="0.3">
      <c r="B39" s="159" t="s">
        <v>65</v>
      </c>
      <c r="C39" s="185"/>
      <c r="E39" s="237">
        <f t="shared" si="31"/>
        <v>0</v>
      </c>
      <c r="F39" s="237">
        <f t="shared" si="32"/>
        <v>0</v>
      </c>
      <c r="G39" s="237">
        <f t="shared" si="33"/>
        <v>0</v>
      </c>
      <c r="H39" s="237">
        <f t="shared" si="34"/>
        <v>0</v>
      </c>
      <c r="I39" s="237">
        <f t="shared" si="35"/>
        <v>0</v>
      </c>
      <c r="J39" s="238"/>
      <c r="K39" s="117" cm="1">
        <f t="array" ref="K39">SUMPRODUCT(($B39=CapexCategory)*(K$3=CapExSalvageMonth)*CapexSalvage)</f>
        <v>0</v>
      </c>
      <c r="L39" s="117" cm="1">
        <f t="array" ref="L39">SUMPRODUCT(($B39=CapexCategory)*(L$3=CapExSalvageMonth)*CapexSalvage)</f>
        <v>0</v>
      </c>
      <c r="M39" s="117" cm="1">
        <f t="array" ref="M39">SUMPRODUCT(($B39=CapexCategory)*(M$3=CapExSalvageMonth)*CapexSalvage)</f>
        <v>0</v>
      </c>
      <c r="N39" s="117" cm="1">
        <f t="array" ref="N39">SUMPRODUCT(($B39=CapexCategory)*(N$3=CapExSalvageMonth)*CapexSalvage)</f>
        <v>0</v>
      </c>
      <c r="O39" s="117" cm="1">
        <f t="array" ref="O39">SUMPRODUCT(($B39=CapexCategory)*(O$3=CapExSalvageMonth)*CapexSalvage)</f>
        <v>0</v>
      </c>
      <c r="P39" s="117" cm="1">
        <f t="array" ref="P39">SUMPRODUCT(($B39=CapexCategory)*(P$3=CapExSalvageMonth)*CapexSalvage)</f>
        <v>0</v>
      </c>
      <c r="Q39" s="117" cm="1">
        <f t="array" ref="Q39">SUMPRODUCT(($B39=CapexCategory)*(Q$3=CapExSalvageMonth)*CapexSalvage)</f>
        <v>0</v>
      </c>
      <c r="R39" s="117" cm="1">
        <f t="array" ref="R39">SUMPRODUCT(($B39=CapexCategory)*(R$3=CapExSalvageMonth)*CapexSalvage)</f>
        <v>0</v>
      </c>
      <c r="S39" s="117" cm="1">
        <f t="array" ref="S39">SUMPRODUCT(($B39=CapexCategory)*(S$3=CapExSalvageMonth)*CapexSalvage)</f>
        <v>0</v>
      </c>
      <c r="T39" s="117" cm="1">
        <f t="array" ref="T39">SUMPRODUCT(($B39=CapexCategory)*(T$3=CapExSalvageMonth)*CapexSalvage)</f>
        <v>0</v>
      </c>
      <c r="U39" s="117" cm="1">
        <f t="array" ref="U39">SUMPRODUCT(($B39=CapexCategory)*(U$3=CapExSalvageMonth)*CapexSalvage)</f>
        <v>0</v>
      </c>
      <c r="V39" s="237" cm="1">
        <f t="array" ref="V39">SUMPRODUCT(($B39=CapexCategory)*(V$3=CapExSalvageMonth)*CapexSalvage)</f>
        <v>0</v>
      </c>
      <c r="W39" s="117" cm="1">
        <f t="array" ref="W39">SUMPRODUCT(($B39=CapexCategory)*(W$3=CapExSalvageMonth)*CapexSalvage)</f>
        <v>0</v>
      </c>
      <c r="X39" s="117" cm="1">
        <f t="array" ref="X39">SUMPRODUCT(($B39=CapexCategory)*(X$3=CapExSalvageMonth)*CapexSalvage)</f>
        <v>0</v>
      </c>
      <c r="Y39" s="117" cm="1">
        <f t="array" ref="Y39">SUMPRODUCT(($B39=CapexCategory)*(Y$3=CapExSalvageMonth)*CapexSalvage)</f>
        <v>0</v>
      </c>
      <c r="Z39" s="117" cm="1">
        <f t="array" ref="Z39">SUMPRODUCT(($B39=CapexCategory)*(Z$3=CapExSalvageMonth)*CapexSalvage)</f>
        <v>0</v>
      </c>
      <c r="AA39" s="117" cm="1">
        <f t="array" ref="AA39">SUMPRODUCT(($B39=CapexCategory)*(AA$3=CapExSalvageMonth)*CapexSalvage)</f>
        <v>0</v>
      </c>
      <c r="AB39" s="117" cm="1">
        <f t="array" ref="AB39">SUMPRODUCT(($B39=CapexCategory)*(AB$3=CapExSalvageMonth)*CapexSalvage)</f>
        <v>0</v>
      </c>
      <c r="AC39" s="117" cm="1">
        <f t="array" ref="AC39">SUMPRODUCT(($B39=CapexCategory)*(AC$3=CapExSalvageMonth)*CapexSalvage)</f>
        <v>0</v>
      </c>
      <c r="AD39" s="117" cm="1">
        <f t="array" ref="AD39">SUMPRODUCT(($B39=CapexCategory)*(AD$3=CapExSalvageMonth)*CapexSalvage)</f>
        <v>0</v>
      </c>
      <c r="AE39" s="117" cm="1">
        <f t="array" ref="AE39">SUMPRODUCT(($B39=CapexCategory)*(AE$3=CapExSalvageMonth)*CapexSalvage)</f>
        <v>0</v>
      </c>
      <c r="AF39" s="117" cm="1">
        <f t="array" ref="AF39">SUMPRODUCT(($B39=CapexCategory)*(AF$3=CapExSalvageMonth)*CapexSalvage)</f>
        <v>0</v>
      </c>
      <c r="AG39" s="117" cm="1">
        <f t="array" ref="AG39">SUMPRODUCT(($B39=CapexCategory)*(AG$3=CapExSalvageMonth)*CapexSalvage)</f>
        <v>0</v>
      </c>
      <c r="AH39" s="237" cm="1">
        <f t="array" ref="AH39">SUMPRODUCT(($B39=CapexCategory)*(AH$3=CapExSalvageMonth)*CapexSalvage)</f>
        <v>0</v>
      </c>
      <c r="AI39" s="117" cm="1">
        <f t="array" ref="AI39">SUMPRODUCT(($B39=CapexCategory)*(AI$3=CapExSalvageMonth)*CapexSalvage)</f>
        <v>0</v>
      </c>
      <c r="AJ39" s="117" cm="1">
        <f t="array" ref="AJ39">SUMPRODUCT(($B39=CapexCategory)*(AJ$3=CapExSalvageMonth)*CapexSalvage)</f>
        <v>0</v>
      </c>
      <c r="AK39" s="117" cm="1">
        <f t="array" ref="AK39">SUMPRODUCT(($B39=CapexCategory)*(AK$3=CapExSalvageMonth)*CapexSalvage)</f>
        <v>0</v>
      </c>
      <c r="AL39" s="117" cm="1">
        <f t="array" ref="AL39">SUMPRODUCT(($B39=CapexCategory)*(AL$3=CapExSalvageMonth)*CapexSalvage)</f>
        <v>0</v>
      </c>
      <c r="AM39" s="117" cm="1">
        <f t="array" ref="AM39">SUMPRODUCT(($B39=CapexCategory)*(AM$3=CapExSalvageMonth)*CapexSalvage)</f>
        <v>0</v>
      </c>
      <c r="AN39" s="117" cm="1">
        <f t="array" ref="AN39">SUMPRODUCT(($B39=CapexCategory)*(AN$3=CapExSalvageMonth)*CapexSalvage)</f>
        <v>0</v>
      </c>
      <c r="AO39" s="117" cm="1">
        <f t="array" ref="AO39">SUMPRODUCT(($B39=CapexCategory)*(AO$3=CapExSalvageMonth)*CapexSalvage)</f>
        <v>0</v>
      </c>
      <c r="AP39" s="117" cm="1">
        <f t="array" ref="AP39">SUMPRODUCT(($B39=CapexCategory)*(AP$3=CapExSalvageMonth)*CapexSalvage)</f>
        <v>0</v>
      </c>
      <c r="AQ39" s="117" cm="1">
        <f t="array" ref="AQ39">SUMPRODUCT(($B39=CapexCategory)*(AQ$3=CapExSalvageMonth)*CapexSalvage)</f>
        <v>0</v>
      </c>
      <c r="AR39" s="117" cm="1">
        <f t="array" ref="AR39">SUMPRODUCT(($B39=CapexCategory)*(AR$3=CapExSalvageMonth)*CapexSalvage)</f>
        <v>0</v>
      </c>
      <c r="AS39" s="117" cm="1">
        <f t="array" ref="AS39">SUMPRODUCT(($B39=CapexCategory)*(AS$3=CapExSalvageMonth)*CapexSalvage)</f>
        <v>0</v>
      </c>
      <c r="AT39" s="237" cm="1">
        <f t="array" ref="AT39">SUMPRODUCT(($B39=CapexCategory)*(AT$3=CapExSalvageMonth)*CapexSalvage)</f>
        <v>0</v>
      </c>
      <c r="AU39" s="117" cm="1">
        <f t="array" ref="AU39">SUMPRODUCT(($B39=CapexCategory)*(AU$3=CapExSalvageMonth)*CapexSalvage)</f>
        <v>0</v>
      </c>
      <c r="AV39" s="117" cm="1">
        <f t="array" ref="AV39">SUMPRODUCT(($B39=CapexCategory)*(AV$3=CapExSalvageMonth)*CapexSalvage)</f>
        <v>0</v>
      </c>
      <c r="AW39" s="117" cm="1">
        <f t="array" ref="AW39">SUMPRODUCT(($B39=CapexCategory)*(AW$3=CapExSalvageMonth)*CapexSalvage)</f>
        <v>0</v>
      </c>
      <c r="AX39" s="117" cm="1">
        <f t="array" ref="AX39">SUMPRODUCT(($B39=CapexCategory)*(AX$3=CapExSalvageMonth)*CapexSalvage)</f>
        <v>0</v>
      </c>
      <c r="AY39" s="117" cm="1">
        <f t="array" ref="AY39">SUMPRODUCT(($B39=CapexCategory)*(AY$3=CapExSalvageMonth)*CapexSalvage)</f>
        <v>0</v>
      </c>
      <c r="AZ39" s="117" cm="1">
        <f t="array" ref="AZ39">SUMPRODUCT(($B39=CapexCategory)*(AZ$3=CapExSalvageMonth)*CapexSalvage)</f>
        <v>0</v>
      </c>
      <c r="BA39" s="117" cm="1">
        <f t="array" ref="BA39">SUMPRODUCT(($B39=CapexCategory)*(BA$3=CapExSalvageMonth)*CapexSalvage)</f>
        <v>0</v>
      </c>
      <c r="BB39" s="117" cm="1">
        <f t="array" ref="BB39">SUMPRODUCT(($B39=CapexCategory)*(BB$3=CapExSalvageMonth)*CapexSalvage)</f>
        <v>0</v>
      </c>
      <c r="BC39" s="117" cm="1">
        <f t="array" ref="BC39">SUMPRODUCT(($B39=CapexCategory)*(BC$3=CapExSalvageMonth)*CapexSalvage)</f>
        <v>0</v>
      </c>
      <c r="BD39" s="117" cm="1">
        <f t="array" ref="BD39">SUMPRODUCT(($B39=CapexCategory)*(BD$3=CapExSalvageMonth)*CapexSalvage)</f>
        <v>0</v>
      </c>
      <c r="BE39" s="117" cm="1">
        <f t="array" ref="BE39">SUMPRODUCT(($B39=CapexCategory)*(BE$3=CapExSalvageMonth)*CapexSalvage)</f>
        <v>0</v>
      </c>
      <c r="BF39" s="237" cm="1">
        <f t="array" ref="BF39">SUMPRODUCT(($B39=CapexCategory)*(BF$3=CapExSalvageMonth)*CapexSalvage)</f>
        <v>0</v>
      </c>
      <c r="BG39" s="117" cm="1">
        <f t="array" ref="BG39">SUMPRODUCT(($B39=CapexCategory)*(BG$3=CapExSalvageMonth)*CapexSalvage)</f>
        <v>0</v>
      </c>
      <c r="BH39" s="117" cm="1">
        <f t="array" ref="BH39">SUMPRODUCT(($B39=CapexCategory)*(BH$3=CapExSalvageMonth)*CapexSalvage)</f>
        <v>0</v>
      </c>
      <c r="BI39" s="117" cm="1">
        <f t="array" ref="BI39">SUMPRODUCT(($B39=CapexCategory)*(BI$3=CapExSalvageMonth)*CapexSalvage)</f>
        <v>0</v>
      </c>
      <c r="BJ39" s="117" cm="1">
        <f t="array" ref="BJ39">SUMPRODUCT(($B39=CapexCategory)*(BJ$3=CapExSalvageMonth)*CapexSalvage)</f>
        <v>0</v>
      </c>
      <c r="BK39" s="117" cm="1">
        <f t="array" ref="BK39">SUMPRODUCT(($B39=CapexCategory)*(BK$3=CapExSalvageMonth)*CapexSalvage)</f>
        <v>0</v>
      </c>
      <c r="BL39" s="117" cm="1">
        <f t="array" ref="BL39">SUMPRODUCT(($B39=CapexCategory)*(BL$3=CapExSalvageMonth)*CapexSalvage)</f>
        <v>0</v>
      </c>
      <c r="BM39" s="117" cm="1">
        <f t="array" ref="BM39">SUMPRODUCT(($B39=CapexCategory)*(BM$3=CapExSalvageMonth)*CapexSalvage)</f>
        <v>0</v>
      </c>
      <c r="BN39" s="117" cm="1">
        <f t="array" ref="BN39">SUMPRODUCT(($B39=CapexCategory)*(BN$3=CapExSalvageMonth)*CapexSalvage)</f>
        <v>0</v>
      </c>
      <c r="BO39" s="117" cm="1">
        <f t="array" ref="BO39">SUMPRODUCT(($B39=CapexCategory)*(BO$3=CapExSalvageMonth)*CapexSalvage)</f>
        <v>0</v>
      </c>
      <c r="BP39" s="117" cm="1">
        <f t="array" ref="BP39">SUMPRODUCT(($B39=CapexCategory)*(BP$3=CapExSalvageMonth)*CapexSalvage)</f>
        <v>0</v>
      </c>
      <c r="BQ39" s="117" cm="1">
        <f t="array" ref="BQ39">SUMPRODUCT(($B39=CapexCategory)*(BQ$3=CapExSalvageMonth)*CapexSalvage)</f>
        <v>0</v>
      </c>
      <c r="BR39" s="237" cm="1">
        <f t="array" ref="BR39">SUMPRODUCT(($B39=CapexCategory)*(BR$3=CapExSalvageMonth)*CapexSalvage)</f>
        <v>0</v>
      </c>
    </row>
    <row r="40" spans="1:70" x14ac:dyDescent="0.3">
      <c r="B40" s="161" t="s">
        <v>181</v>
      </c>
      <c r="C40" s="160"/>
      <c r="E40" s="240">
        <f t="shared" si="31"/>
        <v>0</v>
      </c>
      <c r="F40" s="240">
        <f t="shared" si="32"/>
        <v>0</v>
      </c>
      <c r="G40" s="240">
        <f t="shared" si="33"/>
        <v>0</v>
      </c>
      <c r="H40" s="240">
        <f t="shared" si="34"/>
        <v>5</v>
      </c>
      <c r="I40" s="240">
        <f t="shared" si="35"/>
        <v>0</v>
      </c>
      <c r="J40" s="238"/>
      <c r="K40" s="241" cm="1">
        <f t="array" ref="K40">SUMPRODUCT(   ((ISBLANK(CapexCategory) + (CapexCategory="Other"))&gt;0)   * (K$3=CapExSalvageMonth)*CapexSalvage)</f>
        <v>0</v>
      </c>
      <c r="L40" s="241" cm="1">
        <f t="array" ref="L40">SUMPRODUCT(   ((ISBLANK(CapexCategory) + (CapexCategory="Other"))&gt;0)   * (L$3=CapExSalvageMonth)*CapexSalvage)</f>
        <v>0</v>
      </c>
      <c r="M40" s="241" cm="1">
        <f t="array" ref="M40">SUMPRODUCT(   ((ISBLANK(CapexCategory) + (CapexCategory="Other"))&gt;0)   * (M$3=CapExSalvageMonth)*CapexSalvage)</f>
        <v>0</v>
      </c>
      <c r="N40" s="241" cm="1">
        <f t="array" ref="N40">SUMPRODUCT(   ((ISBLANK(CapexCategory) + (CapexCategory="Other"))&gt;0)   * (N$3=CapExSalvageMonth)*CapexSalvage)</f>
        <v>0</v>
      </c>
      <c r="O40" s="241" cm="1">
        <f t="array" ref="O40">SUMPRODUCT(   ((ISBLANK(CapexCategory) + (CapexCategory="Other"))&gt;0)   * (O$3=CapExSalvageMonth)*CapexSalvage)</f>
        <v>0</v>
      </c>
      <c r="P40" s="241" cm="1">
        <f t="array" ref="P40">SUMPRODUCT(   ((ISBLANK(CapexCategory) + (CapexCategory="Other"))&gt;0)   * (P$3=CapExSalvageMonth)*CapexSalvage)</f>
        <v>0</v>
      </c>
      <c r="Q40" s="241" cm="1">
        <f t="array" ref="Q40">SUMPRODUCT(   ((ISBLANK(CapexCategory) + (CapexCategory="Other"))&gt;0)   * (Q$3=CapExSalvageMonth)*CapexSalvage)</f>
        <v>0</v>
      </c>
      <c r="R40" s="241" cm="1">
        <f t="array" ref="R40">SUMPRODUCT(   ((ISBLANK(CapexCategory) + (CapexCategory="Other"))&gt;0)   * (R$3=CapExSalvageMonth)*CapexSalvage)</f>
        <v>0</v>
      </c>
      <c r="S40" s="241" cm="1">
        <f t="array" ref="S40">SUMPRODUCT(   ((ISBLANK(CapexCategory) + (CapexCategory="Other"))&gt;0)   * (S$3=CapExSalvageMonth)*CapexSalvage)</f>
        <v>0</v>
      </c>
      <c r="T40" s="241" cm="1">
        <f t="array" ref="T40">SUMPRODUCT(   ((ISBLANK(CapexCategory) + (CapexCategory="Other"))&gt;0)   * (T$3=CapExSalvageMonth)*CapexSalvage)</f>
        <v>0</v>
      </c>
      <c r="U40" s="241" cm="1">
        <f t="array" ref="U40">SUMPRODUCT(   ((ISBLANK(CapexCategory) + (CapexCategory="Other"))&gt;0)   * (U$3=CapExSalvageMonth)*CapexSalvage)</f>
        <v>0</v>
      </c>
      <c r="V40" s="242" cm="1">
        <f t="array" ref="V40">SUMPRODUCT(   ((ISBLANK(CapexCategory) + (CapexCategory="Other"))&gt;0)   * (V$3=CapExSalvageMonth)*CapexSalvage)</f>
        <v>0</v>
      </c>
      <c r="W40" s="241" cm="1">
        <f t="array" ref="W40">SUMPRODUCT(   ((ISBLANK(CapexCategory) + (CapexCategory="Other"))&gt;0)   * (W$3=CapExSalvageMonth)*CapexSalvage)</f>
        <v>0</v>
      </c>
      <c r="X40" s="241" cm="1">
        <f t="array" ref="X40">SUMPRODUCT(   ((ISBLANK(CapexCategory) + (CapexCategory="Other"))&gt;0)   * (X$3=CapExSalvageMonth)*CapexSalvage)</f>
        <v>0</v>
      </c>
      <c r="Y40" s="241" cm="1">
        <f t="array" ref="Y40">SUMPRODUCT(   ((ISBLANK(CapexCategory) + (CapexCategory="Other"))&gt;0)   * (Y$3=CapExSalvageMonth)*CapexSalvage)</f>
        <v>0</v>
      </c>
      <c r="Z40" s="241" cm="1">
        <f t="array" ref="Z40">SUMPRODUCT(   ((ISBLANK(CapexCategory) + (CapexCategory="Other"))&gt;0)   * (Z$3=CapExSalvageMonth)*CapexSalvage)</f>
        <v>0</v>
      </c>
      <c r="AA40" s="241" cm="1">
        <f t="array" ref="AA40">SUMPRODUCT(   ((ISBLANK(CapexCategory) + (CapexCategory="Other"))&gt;0)   * (AA$3=CapExSalvageMonth)*CapexSalvage)</f>
        <v>0</v>
      </c>
      <c r="AB40" s="241" cm="1">
        <f t="array" ref="AB40">SUMPRODUCT(   ((ISBLANK(CapexCategory) + (CapexCategory="Other"))&gt;0)   * (AB$3=CapExSalvageMonth)*CapexSalvage)</f>
        <v>0</v>
      </c>
      <c r="AC40" s="241" cm="1">
        <f t="array" ref="AC40">SUMPRODUCT(   ((ISBLANK(CapexCategory) + (CapexCategory="Other"))&gt;0)   * (AC$3=CapExSalvageMonth)*CapexSalvage)</f>
        <v>0</v>
      </c>
      <c r="AD40" s="241" cm="1">
        <f t="array" ref="AD40">SUMPRODUCT(   ((ISBLANK(CapexCategory) + (CapexCategory="Other"))&gt;0)   * (AD$3=CapExSalvageMonth)*CapexSalvage)</f>
        <v>0</v>
      </c>
      <c r="AE40" s="241" cm="1">
        <f t="array" ref="AE40">SUMPRODUCT(   ((ISBLANK(CapexCategory) + (CapexCategory="Other"))&gt;0)   * (AE$3=CapExSalvageMonth)*CapexSalvage)</f>
        <v>0</v>
      </c>
      <c r="AF40" s="241" cm="1">
        <f t="array" ref="AF40">SUMPRODUCT(   ((ISBLANK(CapexCategory) + (CapexCategory="Other"))&gt;0)   * (AF$3=CapExSalvageMonth)*CapexSalvage)</f>
        <v>0</v>
      </c>
      <c r="AG40" s="241" cm="1">
        <f t="array" ref="AG40">SUMPRODUCT(   ((ISBLANK(CapexCategory) + (CapexCategory="Other"))&gt;0)   * (AG$3=CapExSalvageMonth)*CapexSalvage)</f>
        <v>0</v>
      </c>
      <c r="AH40" s="242" cm="1">
        <f t="array" ref="AH40">SUMPRODUCT(   ((ISBLANK(CapexCategory) + (CapexCategory="Other"))&gt;0)   * (AH$3=CapExSalvageMonth)*CapexSalvage)</f>
        <v>0</v>
      </c>
      <c r="AI40" s="241" cm="1">
        <f t="array" ref="AI40">SUMPRODUCT(   ((ISBLANK(CapexCategory) + (CapexCategory="Other"))&gt;0)   * (AI$3=CapExSalvageMonth)*CapexSalvage)</f>
        <v>0</v>
      </c>
      <c r="AJ40" s="241" cm="1">
        <f t="array" ref="AJ40">SUMPRODUCT(   ((ISBLANK(CapexCategory) + (CapexCategory="Other"))&gt;0)   * (AJ$3=CapExSalvageMonth)*CapexSalvage)</f>
        <v>0</v>
      </c>
      <c r="AK40" s="241" cm="1">
        <f t="array" ref="AK40">SUMPRODUCT(   ((ISBLANK(CapexCategory) + (CapexCategory="Other"))&gt;0)   * (AK$3=CapExSalvageMonth)*CapexSalvage)</f>
        <v>0</v>
      </c>
      <c r="AL40" s="241" cm="1">
        <f t="array" ref="AL40">SUMPRODUCT(   ((ISBLANK(CapexCategory) + (CapexCategory="Other"))&gt;0)   * (AL$3=CapExSalvageMonth)*CapexSalvage)</f>
        <v>0</v>
      </c>
      <c r="AM40" s="241" cm="1">
        <f t="array" ref="AM40">SUMPRODUCT(   ((ISBLANK(CapexCategory) + (CapexCategory="Other"))&gt;0)   * (AM$3=CapExSalvageMonth)*CapexSalvage)</f>
        <v>0</v>
      </c>
      <c r="AN40" s="241" cm="1">
        <f t="array" ref="AN40">SUMPRODUCT(   ((ISBLANK(CapexCategory) + (CapexCategory="Other"))&gt;0)   * (AN$3=CapExSalvageMonth)*CapexSalvage)</f>
        <v>0</v>
      </c>
      <c r="AO40" s="241" cm="1">
        <f t="array" ref="AO40">SUMPRODUCT(   ((ISBLANK(CapexCategory) + (CapexCategory="Other"))&gt;0)   * (AO$3=CapExSalvageMonth)*CapexSalvage)</f>
        <v>0</v>
      </c>
      <c r="AP40" s="241" cm="1">
        <f t="array" ref="AP40">SUMPRODUCT(   ((ISBLANK(CapexCategory) + (CapexCategory="Other"))&gt;0)   * (AP$3=CapExSalvageMonth)*CapexSalvage)</f>
        <v>0</v>
      </c>
      <c r="AQ40" s="241" cm="1">
        <f t="array" ref="AQ40">SUMPRODUCT(   ((ISBLANK(CapexCategory) + (CapexCategory="Other"))&gt;0)   * (AQ$3=CapExSalvageMonth)*CapexSalvage)</f>
        <v>0</v>
      </c>
      <c r="AR40" s="241" cm="1">
        <f t="array" ref="AR40">SUMPRODUCT(   ((ISBLANK(CapexCategory) + (CapexCategory="Other"))&gt;0)   * (AR$3=CapExSalvageMonth)*CapexSalvage)</f>
        <v>0</v>
      </c>
      <c r="AS40" s="241" cm="1">
        <f t="array" ref="AS40">SUMPRODUCT(   ((ISBLANK(CapexCategory) + (CapexCategory="Other"))&gt;0)   * (AS$3=CapExSalvageMonth)*CapexSalvage)</f>
        <v>0</v>
      </c>
      <c r="AT40" s="242" cm="1">
        <f t="array" ref="AT40">SUMPRODUCT(   ((ISBLANK(CapexCategory) + (CapexCategory="Other"))&gt;0)   * (AT$3=CapExSalvageMonth)*CapexSalvage)</f>
        <v>0</v>
      </c>
      <c r="AU40" s="241" cm="1">
        <f t="array" ref="AU40">SUMPRODUCT(   ((ISBLANK(CapexCategory) + (CapexCategory="Other"))&gt;0)   * (AU$3=CapExSalvageMonth)*CapexSalvage)</f>
        <v>0</v>
      </c>
      <c r="AV40" s="241" cm="1">
        <f t="array" ref="AV40">SUMPRODUCT(   ((ISBLANK(CapexCategory) + (CapexCategory="Other"))&gt;0)   * (AV$3=CapExSalvageMonth)*CapexSalvage)</f>
        <v>0</v>
      </c>
      <c r="AW40" s="241" cm="1">
        <f t="array" ref="AW40">SUMPRODUCT(   ((ISBLANK(CapexCategory) + (CapexCategory="Other"))&gt;0)   * (AW$3=CapExSalvageMonth)*CapexSalvage)</f>
        <v>0</v>
      </c>
      <c r="AX40" s="241" cm="1">
        <f t="array" ref="AX40">SUMPRODUCT(   ((ISBLANK(CapexCategory) + (CapexCategory="Other"))&gt;0)   * (AX$3=CapExSalvageMonth)*CapexSalvage)</f>
        <v>5</v>
      </c>
      <c r="AY40" s="241" cm="1">
        <f t="array" ref="AY40">SUMPRODUCT(   ((ISBLANK(CapexCategory) + (CapexCategory="Other"))&gt;0)   * (AY$3=CapExSalvageMonth)*CapexSalvage)</f>
        <v>0</v>
      </c>
      <c r="AZ40" s="241" cm="1">
        <f t="array" ref="AZ40">SUMPRODUCT(   ((ISBLANK(CapexCategory) + (CapexCategory="Other"))&gt;0)   * (AZ$3=CapExSalvageMonth)*CapexSalvage)</f>
        <v>0</v>
      </c>
      <c r="BA40" s="241" cm="1">
        <f t="array" ref="BA40">SUMPRODUCT(   ((ISBLANK(CapexCategory) + (CapexCategory="Other"))&gt;0)   * (BA$3=CapExSalvageMonth)*CapexSalvage)</f>
        <v>0</v>
      </c>
      <c r="BB40" s="241" cm="1">
        <f t="array" ref="BB40">SUMPRODUCT(   ((ISBLANK(CapexCategory) + (CapexCategory="Other"))&gt;0)   * (BB$3=CapExSalvageMonth)*CapexSalvage)</f>
        <v>0</v>
      </c>
      <c r="BC40" s="241" cm="1">
        <f t="array" ref="BC40">SUMPRODUCT(   ((ISBLANK(CapexCategory) + (CapexCategory="Other"))&gt;0)   * (BC$3=CapExSalvageMonth)*CapexSalvage)</f>
        <v>0</v>
      </c>
      <c r="BD40" s="241" cm="1">
        <f t="array" ref="BD40">SUMPRODUCT(   ((ISBLANK(CapexCategory) + (CapexCategory="Other"))&gt;0)   * (BD$3=CapExSalvageMonth)*CapexSalvage)</f>
        <v>0</v>
      </c>
      <c r="BE40" s="241" cm="1">
        <f t="array" ref="BE40">SUMPRODUCT(   ((ISBLANK(CapexCategory) + (CapexCategory="Other"))&gt;0)   * (BE$3=CapExSalvageMonth)*CapexSalvage)</f>
        <v>0</v>
      </c>
      <c r="BF40" s="242" cm="1">
        <f t="array" ref="BF40">SUMPRODUCT(   ((ISBLANK(CapexCategory) + (CapexCategory="Other"))&gt;0)   * (BF$3=CapExSalvageMonth)*CapexSalvage)</f>
        <v>0</v>
      </c>
      <c r="BG40" s="241" cm="1">
        <f t="array" ref="BG40">SUMPRODUCT(   ((ISBLANK(CapexCategory) + (CapexCategory="Other"))&gt;0)   * (BG$3=CapExSalvageMonth)*CapexSalvage)</f>
        <v>0</v>
      </c>
      <c r="BH40" s="241" cm="1">
        <f t="array" ref="BH40">SUMPRODUCT(   ((ISBLANK(CapexCategory) + (CapexCategory="Other"))&gt;0)   * (BH$3=CapExSalvageMonth)*CapexSalvage)</f>
        <v>0</v>
      </c>
      <c r="BI40" s="241" cm="1">
        <f t="array" ref="BI40">SUMPRODUCT(   ((ISBLANK(CapexCategory) + (CapexCategory="Other"))&gt;0)   * (BI$3=CapExSalvageMonth)*CapexSalvage)</f>
        <v>0</v>
      </c>
      <c r="BJ40" s="241" cm="1">
        <f t="array" ref="BJ40">SUMPRODUCT(   ((ISBLANK(CapexCategory) + (CapexCategory="Other"))&gt;0)   * (BJ$3=CapExSalvageMonth)*CapexSalvage)</f>
        <v>0</v>
      </c>
      <c r="BK40" s="241" cm="1">
        <f t="array" ref="BK40">SUMPRODUCT(   ((ISBLANK(CapexCategory) + (CapexCategory="Other"))&gt;0)   * (BK$3=CapExSalvageMonth)*CapexSalvage)</f>
        <v>0</v>
      </c>
      <c r="BL40" s="241" cm="1">
        <f t="array" ref="BL40">SUMPRODUCT(   ((ISBLANK(CapexCategory) + (CapexCategory="Other"))&gt;0)   * (BL$3=CapExSalvageMonth)*CapexSalvage)</f>
        <v>0</v>
      </c>
      <c r="BM40" s="241" cm="1">
        <f t="array" ref="BM40">SUMPRODUCT(   ((ISBLANK(CapexCategory) + (CapexCategory="Other"))&gt;0)   * (BM$3=CapExSalvageMonth)*CapexSalvage)</f>
        <v>0</v>
      </c>
      <c r="BN40" s="241" cm="1">
        <f t="array" ref="BN40">SUMPRODUCT(   ((ISBLANK(CapexCategory) + (CapexCategory="Other"))&gt;0)   * (BN$3=CapExSalvageMonth)*CapexSalvage)</f>
        <v>0</v>
      </c>
      <c r="BO40" s="241" cm="1">
        <f t="array" ref="BO40">SUMPRODUCT(   ((ISBLANK(CapexCategory) + (CapexCategory="Other"))&gt;0)   * (BO$3=CapExSalvageMonth)*CapexSalvage)</f>
        <v>0</v>
      </c>
      <c r="BP40" s="241" cm="1">
        <f t="array" ref="BP40">SUMPRODUCT(   ((ISBLANK(CapexCategory) + (CapexCategory="Other"))&gt;0)   * (BP$3=CapExSalvageMonth)*CapexSalvage)</f>
        <v>0</v>
      </c>
      <c r="BQ40" s="241" cm="1">
        <f t="array" ref="BQ40">SUMPRODUCT(   ((ISBLANK(CapexCategory) + (CapexCategory="Other"))&gt;0)   * (BQ$3=CapExSalvageMonth)*CapexSalvage)</f>
        <v>0</v>
      </c>
      <c r="BR40" s="242" cm="1">
        <f t="array" ref="BR40">SUMPRODUCT(   ((ISBLANK(CapexCategory) + (CapexCategory="Other"))&gt;0)   * (BR$3=CapExSalvageMonth)*CapexSalvage)</f>
        <v>0</v>
      </c>
    </row>
    <row r="41" spans="1:70" s="323" customFormat="1" x14ac:dyDescent="0.3">
      <c r="A41" s="109"/>
      <c r="B41" s="162" t="s">
        <v>182</v>
      </c>
      <c r="C41" s="163"/>
      <c r="D41" s="105"/>
      <c r="E41" s="294">
        <f t="shared" si="31"/>
        <v>18</v>
      </c>
      <c r="F41" s="294">
        <f t="shared" si="32"/>
        <v>175</v>
      </c>
      <c r="G41" s="294">
        <f>SUM(AI41:AT41)</f>
        <v>0</v>
      </c>
      <c r="H41" s="294">
        <f t="shared" si="34"/>
        <v>5</v>
      </c>
      <c r="I41" s="294">
        <f t="shared" si="35"/>
        <v>15</v>
      </c>
      <c r="J41" s="238"/>
      <c r="K41" s="238">
        <f t="shared" ref="K41:BR41" si="36">SUM(K35:K40)</f>
        <v>0</v>
      </c>
      <c r="L41" s="238">
        <f t="shared" si="36"/>
        <v>0</v>
      </c>
      <c r="M41" s="238">
        <f>SUM(M35:M40)</f>
        <v>0</v>
      </c>
      <c r="N41" s="238">
        <f t="shared" si="36"/>
        <v>0</v>
      </c>
      <c r="O41" s="238">
        <f t="shared" si="36"/>
        <v>0</v>
      </c>
      <c r="P41" s="238">
        <f t="shared" si="36"/>
        <v>0</v>
      </c>
      <c r="Q41" s="238">
        <f t="shared" si="36"/>
        <v>0</v>
      </c>
      <c r="R41" s="238">
        <f t="shared" si="36"/>
        <v>0</v>
      </c>
      <c r="S41" s="238">
        <f t="shared" si="36"/>
        <v>0</v>
      </c>
      <c r="T41" s="238">
        <f t="shared" si="36"/>
        <v>0</v>
      </c>
      <c r="U41" s="238">
        <f t="shared" si="36"/>
        <v>0</v>
      </c>
      <c r="V41" s="245">
        <f t="shared" si="36"/>
        <v>18</v>
      </c>
      <c r="W41" s="238">
        <f t="shared" si="36"/>
        <v>0</v>
      </c>
      <c r="X41" s="238">
        <f t="shared" si="36"/>
        <v>0</v>
      </c>
      <c r="Y41" s="238">
        <f t="shared" si="36"/>
        <v>0</v>
      </c>
      <c r="Z41" s="238">
        <f t="shared" si="36"/>
        <v>0</v>
      </c>
      <c r="AA41" s="238">
        <f t="shared" si="36"/>
        <v>0</v>
      </c>
      <c r="AB41" s="238">
        <f t="shared" si="36"/>
        <v>0</v>
      </c>
      <c r="AC41" s="238">
        <f t="shared" si="36"/>
        <v>0</v>
      </c>
      <c r="AD41" s="238">
        <f t="shared" si="36"/>
        <v>175</v>
      </c>
      <c r="AE41" s="238">
        <f t="shared" si="36"/>
        <v>0</v>
      </c>
      <c r="AF41" s="238">
        <f t="shared" si="36"/>
        <v>0</v>
      </c>
      <c r="AG41" s="238">
        <f t="shared" si="36"/>
        <v>0</v>
      </c>
      <c r="AH41" s="245">
        <f t="shared" si="36"/>
        <v>0</v>
      </c>
      <c r="AI41" s="238">
        <f t="shared" si="36"/>
        <v>0</v>
      </c>
      <c r="AJ41" s="238">
        <f t="shared" si="36"/>
        <v>0</v>
      </c>
      <c r="AK41" s="238">
        <f t="shared" si="36"/>
        <v>0</v>
      </c>
      <c r="AL41" s="238">
        <f t="shared" si="36"/>
        <v>0</v>
      </c>
      <c r="AM41" s="238">
        <f t="shared" si="36"/>
        <v>0</v>
      </c>
      <c r="AN41" s="238">
        <f t="shared" si="36"/>
        <v>0</v>
      </c>
      <c r="AO41" s="238">
        <f t="shared" si="36"/>
        <v>0</v>
      </c>
      <c r="AP41" s="238">
        <f t="shared" si="36"/>
        <v>0</v>
      </c>
      <c r="AQ41" s="238">
        <f t="shared" si="36"/>
        <v>0</v>
      </c>
      <c r="AR41" s="238">
        <f t="shared" si="36"/>
        <v>0</v>
      </c>
      <c r="AS41" s="238">
        <f t="shared" si="36"/>
        <v>0</v>
      </c>
      <c r="AT41" s="245">
        <f t="shared" si="36"/>
        <v>0</v>
      </c>
      <c r="AU41" s="238">
        <f t="shared" si="36"/>
        <v>0</v>
      </c>
      <c r="AV41" s="238">
        <f t="shared" si="36"/>
        <v>0</v>
      </c>
      <c r="AW41" s="238">
        <f t="shared" si="36"/>
        <v>0</v>
      </c>
      <c r="AX41" s="238">
        <f t="shared" si="36"/>
        <v>5</v>
      </c>
      <c r="AY41" s="238">
        <f t="shared" si="36"/>
        <v>0</v>
      </c>
      <c r="AZ41" s="238">
        <f t="shared" si="36"/>
        <v>0</v>
      </c>
      <c r="BA41" s="238">
        <f t="shared" si="36"/>
        <v>0</v>
      </c>
      <c r="BB41" s="238">
        <f t="shared" si="36"/>
        <v>0</v>
      </c>
      <c r="BC41" s="238">
        <f t="shared" si="36"/>
        <v>0</v>
      </c>
      <c r="BD41" s="238">
        <f t="shared" si="36"/>
        <v>0</v>
      </c>
      <c r="BE41" s="238">
        <f t="shared" si="36"/>
        <v>0</v>
      </c>
      <c r="BF41" s="245">
        <f t="shared" si="36"/>
        <v>0</v>
      </c>
      <c r="BG41" s="238">
        <f t="shared" si="36"/>
        <v>0</v>
      </c>
      <c r="BH41" s="238">
        <f t="shared" si="36"/>
        <v>0</v>
      </c>
      <c r="BI41" s="238">
        <f t="shared" si="36"/>
        <v>0</v>
      </c>
      <c r="BJ41" s="238">
        <f t="shared" si="36"/>
        <v>0</v>
      </c>
      <c r="BK41" s="238">
        <f t="shared" si="36"/>
        <v>0</v>
      </c>
      <c r="BL41" s="238">
        <f t="shared" si="36"/>
        <v>0</v>
      </c>
      <c r="BM41" s="238">
        <f t="shared" si="36"/>
        <v>15</v>
      </c>
      <c r="BN41" s="238">
        <f t="shared" si="36"/>
        <v>0</v>
      </c>
      <c r="BO41" s="238">
        <f t="shared" si="36"/>
        <v>0</v>
      </c>
      <c r="BP41" s="238">
        <f t="shared" si="36"/>
        <v>0</v>
      </c>
      <c r="BQ41" s="238">
        <f t="shared" si="36"/>
        <v>0</v>
      </c>
      <c r="BR41" s="245">
        <f t="shared" si="36"/>
        <v>0</v>
      </c>
    </row>
    <row r="42" spans="1:70" hidden="1" x14ac:dyDescent="0.3">
      <c r="B42" s="159" t="s">
        <v>47</v>
      </c>
      <c r="C42" s="185"/>
      <c r="E42" s="243">
        <f t="shared" ref="E42:E47" si="37">SUM(K42:V42)</f>
        <v>0</v>
      </c>
      <c r="F42" s="243">
        <f t="shared" ref="F42:F47" si="38">SUM(W42:AH42)</f>
        <v>82.407407407407419</v>
      </c>
      <c r="G42" s="243">
        <f t="shared" ref="G42:G47" si="39">SUM(AI42:AT42)</f>
        <v>0</v>
      </c>
      <c r="H42" s="243">
        <f t="shared" ref="H42:H47" si="40">SUM(AU42:BF42)</f>
        <v>0</v>
      </c>
      <c r="I42" s="243">
        <f t="shared" ref="I42:I47" si="41">SUM(BG42:BR42)</f>
        <v>0</v>
      </c>
      <c r="J42" s="238"/>
      <c r="K42" s="117" cm="1">
        <f t="array" ref="K42">SUMPRODUCT(($B42=CapexCategory)*(K$3=CapExSalvageMonth)*SalGain)</f>
        <v>0</v>
      </c>
      <c r="L42" s="117" cm="1">
        <f t="array" ref="L42">SUMPRODUCT(($B42=CapexCategory)*(L$3=CapExSalvageMonth)*SalGain)</f>
        <v>0</v>
      </c>
      <c r="M42" s="117" cm="1">
        <f t="array" ref="M42">SUMPRODUCT(($B42=CapexCategory)*(M$3=CapExSalvageMonth)*SalGain)</f>
        <v>0</v>
      </c>
      <c r="N42" s="117" cm="1">
        <f t="array" ref="N42">SUMPRODUCT(($B42=CapexCategory)*(N$3=CapExSalvageMonth)*SalGain)</f>
        <v>0</v>
      </c>
      <c r="O42" s="117" cm="1">
        <f t="array" ref="O42">SUMPRODUCT(($B42=CapexCategory)*(O$3=CapExSalvageMonth)*SalGain)</f>
        <v>0</v>
      </c>
      <c r="P42" s="117" cm="1">
        <f t="array" ref="P42">SUMPRODUCT(($B42=CapexCategory)*(P$3=CapExSalvageMonth)*SalGain)</f>
        <v>0</v>
      </c>
      <c r="Q42" s="117" cm="1">
        <f t="array" ref="Q42">SUMPRODUCT(($B42=CapexCategory)*(Q$3=CapExSalvageMonth)*SalGain)</f>
        <v>0</v>
      </c>
      <c r="R42" s="117" cm="1">
        <f t="array" ref="R42">SUMPRODUCT(($B42=CapexCategory)*(R$3=CapExSalvageMonth)*SalGain)</f>
        <v>0</v>
      </c>
      <c r="S42" s="117" cm="1">
        <f t="array" ref="S42">SUMPRODUCT(($B42=CapexCategory)*(S$3=CapExSalvageMonth)*SalGain)</f>
        <v>0</v>
      </c>
      <c r="T42" s="117" cm="1">
        <f t="array" ref="T42">SUMPRODUCT(($B42=CapexCategory)*(T$3=CapExSalvageMonth)*SalGain)</f>
        <v>0</v>
      </c>
      <c r="U42" s="117" cm="1">
        <f t="array" ref="U42">SUMPRODUCT(($B42=CapexCategory)*(U$3=CapExSalvageMonth)*SalGain)</f>
        <v>0</v>
      </c>
      <c r="V42" s="243" cm="1">
        <f t="array" ref="V42">SUMPRODUCT(($B42=CapexCategory)*(V$3=CapExSalvageMonth)*SalGain)</f>
        <v>0</v>
      </c>
      <c r="W42" s="117" cm="1">
        <f t="array" ref="W42">SUMPRODUCT(($B42=CapexCategory)*(W$3=CapExSalvageMonth)*SalGain)</f>
        <v>0</v>
      </c>
      <c r="X42" s="117" cm="1">
        <f t="array" ref="X42">SUMPRODUCT(($B42=CapexCategory)*(X$3=CapExSalvageMonth)*SalGain)</f>
        <v>0</v>
      </c>
      <c r="Y42" s="117" cm="1">
        <f t="array" ref="Y42">SUMPRODUCT(($B42=CapexCategory)*(Y$3=CapExSalvageMonth)*SalGain)</f>
        <v>0</v>
      </c>
      <c r="Z42" s="117" cm="1">
        <f t="array" ref="Z42">SUMPRODUCT(($B42=CapexCategory)*(Z$3=CapExSalvageMonth)*SalGain)</f>
        <v>0</v>
      </c>
      <c r="AA42" s="117" cm="1">
        <f t="array" ref="AA42">SUMPRODUCT(($B42=CapexCategory)*(AA$3=CapExSalvageMonth)*SalGain)</f>
        <v>0</v>
      </c>
      <c r="AB42" s="117" cm="1">
        <f t="array" ref="AB42">SUMPRODUCT(($B42=CapexCategory)*(AB$3=CapExSalvageMonth)*SalGain)</f>
        <v>0</v>
      </c>
      <c r="AC42" s="117" cm="1">
        <f t="array" ref="AC42">SUMPRODUCT(($B42=CapexCategory)*(AC$3=CapExSalvageMonth)*SalGain)</f>
        <v>0</v>
      </c>
      <c r="AD42" s="117" cm="1">
        <f t="array" ref="AD42">SUMPRODUCT(($B42=CapexCategory)*(AD$3=CapExSalvageMonth)*SalGain)</f>
        <v>82.407407407407419</v>
      </c>
      <c r="AE42" s="117" cm="1">
        <f t="array" ref="AE42">SUMPRODUCT(($B42=CapexCategory)*(AE$3=CapExSalvageMonth)*SalGain)</f>
        <v>0</v>
      </c>
      <c r="AF42" s="117" cm="1">
        <f t="array" ref="AF42">SUMPRODUCT(($B42=CapexCategory)*(AF$3=CapExSalvageMonth)*SalGain)</f>
        <v>0</v>
      </c>
      <c r="AG42" s="117" cm="1">
        <f t="array" ref="AG42">SUMPRODUCT(($B42=CapexCategory)*(AG$3=CapExSalvageMonth)*SalGain)</f>
        <v>0</v>
      </c>
      <c r="AH42" s="243" cm="1">
        <f t="array" ref="AH42">SUMPRODUCT(($B42=CapexCategory)*(AH$3=CapExSalvageMonth)*SalGain)</f>
        <v>0</v>
      </c>
      <c r="AI42" s="117" cm="1">
        <f t="array" ref="AI42">SUMPRODUCT(($B42=CapexCategory)*(AI$3=CapExSalvageMonth)*SalGain)</f>
        <v>0</v>
      </c>
      <c r="AJ42" s="117" cm="1">
        <f t="array" ref="AJ42">SUMPRODUCT(($B42=CapexCategory)*(AJ$3=CapExSalvageMonth)*SalGain)</f>
        <v>0</v>
      </c>
      <c r="AK42" s="117" cm="1">
        <f t="array" ref="AK42">SUMPRODUCT(($B42=CapexCategory)*(AK$3=CapExSalvageMonth)*SalGain)</f>
        <v>0</v>
      </c>
      <c r="AL42" s="117" cm="1">
        <f t="array" ref="AL42">SUMPRODUCT(($B42=CapexCategory)*(AL$3=CapExSalvageMonth)*SalGain)</f>
        <v>0</v>
      </c>
      <c r="AM42" s="117" cm="1">
        <f t="array" ref="AM42">SUMPRODUCT(($B42=CapexCategory)*(AM$3=CapExSalvageMonth)*SalGain)</f>
        <v>0</v>
      </c>
      <c r="AN42" s="117" cm="1">
        <f t="array" ref="AN42">SUMPRODUCT(($B42=CapexCategory)*(AN$3=CapExSalvageMonth)*SalGain)</f>
        <v>0</v>
      </c>
      <c r="AO42" s="117" cm="1">
        <f t="array" ref="AO42">SUMPRODUCT(($B42=CapexCategory)*(AO$3=CapExSalvageMonth)*SalGain)</f>
        <v>0</v>
      </c>
      <c r="AP42" s="117" cm="1">
        <f t="array" ref="AP42">SUMPRODUCT(($B42=CapexCategory)*(AP$3=CapExSalvageMonth)*SalGain)</f>
        <v>0</v>
      </c>
      <c r="AQ42" s="117" cm="1">
        <f t="array" ref="AQ42">SUMPRODUCT(($B42=CapexCategory)*(AQ$3=CapExSalvageMonth)*SalGain)</f>
        <v>0</v>
      </c>
      <c r="AR42" s="117" cm="1">
        <f t="array" ref="AR42">SUMPRODUCT(($B42=CapexCategory)*(AR$3=CapExSalvageMonth)*SalGain)</f>
        <v>0</v>
      </c>
      <c r="AS42" s="117" cm="1">
        <f t="array" ref="AS42">SUMPRODUCT(($B42=CapexCategory)*(AS$3=CapExSalvageMonth)*SalGain)</f>
        <v>0</v>
      </c>
      <c r="AT42" s="243" cm="1">
        <f t="array" ref="AT42">SUMPRODUCT(($B42=CapexCategory)*(AT$3=CapExSalvageMonth)*SalGain)</f>
        <v>0</v>
      </c>
      <c r="AU42" s="117" cm="1">
        <f t="array" ref="AU42">SUMPRODUCT(($B42=CapexCategory)*(AU$3=CapExSalvageMonth)*SalGain)</f>
        <v>0</v>
      </c>
      <c r="AV42" s="117" cm="1">
        <f t="array" ref="AV42">SUMPRODUCT(($B42=CapexCategory)*(AV$3=CapExSalvageMonth)*SalGain)</f>
        <v>0</v>
      </c>
      <c r="AW42" s="117" cm="1">
        <f t="array" ref="AW42">SUMPRODUCT(($B42=CapexCategory)*(AW$3=CapExSalvageMonth)*SalGain)</f>
        <v>0</v>
      </c>
      <c r="AX42" s="117" cm="1">
        <f t="array" ref="AX42">SUMPRODUCT(($B42=CapexCategory)*(AX$3=CapExSalvageMonth)*SalGain)</f>
        <v>0</v>
      </c>
      <c r="AY42" s="117" cm="1">
        <f t="array" ref="AY42">SUMPRODUCT(($B42=CapexCategory)*(AY$3=CapExSalvageMonth)*SalGain)</f>
        <v>0</v>
      </c>
      <c r="AZ42" s="117" cm="1">
        <f t="array" ref="AZ42">SUMPRODUCT(($B42=CapexCategory)*(AZ$3=CapExSalvageMonth)*SalGain)</f>
        <v>0</v>
      </c>
      <c r="BA42" s="117" cm="1">
        <f t="array" ref="BA42">SUMPRODUCT(($B42=CapexCategory)*(BA$3=CapExSalvageMonth)*SalGain)</f>
        <v>0</v>
      </c>
      <c r="BB42" s="117" cm="1">
        <f t="array" ref="BB42">SUMPRODUCT(($B42=CapexCategory)*(BB$3=CapExSalvageMonth)*SalGain)</f>
        <v>0</v>
      </c>
      <c r="BC42" s="117" cm="1">
        <f t="array" ref="BC42">SUMPRODUCT(($B42=CapexCategory)*(BC$3=CapExSalvageMonth)*SalGain)</f>
        <v>0</v>
      </c>
      <c r="BD42" s="117" cm="1">
        <f t="array" ref="BD42">SUMPRODUCT(($B42=CapexCategory)*(BD$3=CapExSalvageMonth)*SalGain)</f>
        <v>0</v>
      </c>
      <c r="BE42" s="117" cm="1">
        <f t="array" ref="BE42">SUMPRODUCT(($B42=CapexCategory)*(BE$3=CapExSalvageMonth)*SalGain)</f>
        <v>0</v>
      </c>
      <c r="BF42" s="243" cm="1">
        <f t="array" ref="BF42">SUMPRODUCT(($B42=CapexCategory)*(BF$3=CapExSalvageMonth)*SalGain)</f>
        <v>0</v>
      </c>
      <c r="BG42" s="117" cm="1">
        <f t="array" ref="BG42">SUMPRODUCT(($B42=CapexCategory)*(BG$3=CapExSalvageMonth)*SalGain)</f>
        <v>0</v>
      </c>
      <c r="BH42" s="117" cm="1">
        <f t="array" ref="BH42">SUMPRODUCT(($B42=CapexCategory)*(BH$3=CapExSalvageMonth)*SalGain)</f>
        <v>0</v>
      </c>
      <c r="BI42" s="117" cm="1">
        <f t="array" ref="BI42">SUMPRODUCT(($B42=CapexCategory)*(BI$3=CapExSalvageMonth)*SalGain)</f>
        <v>0</v>
      </c>
      <c r="BJ42" s="117" cm="1">
        <f t="array" ref="BJ42">SUMPRODUCT(($B42=CapexCategory)*(BJ$3=CapExSalvageMonth)*SalGain)</f>
        <v>0</v>
      </c>
      <c r="BK42" s="117" cm="1">
        <f t="array" ref="BK42">SUMPRODUCT(($B42=CapexCategory)*(BK$3=CapExSalvageMonth)*SalGain)</f>
        <v>0</v>
      </c>
      <c r="BL42" s="117" cm="1">
        <f t="array" ref="BL42">SUMPRODUCT(($B42=CapexCategory)*(BL$3=CapExSalvageMonth)*SalGain)</f>
        <v>0</v>
      </c>
      <c r="BM42" s="117" cm="1">
        <f t="array" ref="BM42">SUMPRODUCT(($B42=CapexCategory)*(BM$3=CapExSalvageMonth)*SalGain)</f>
        <v>0</v>
      </c>
      <c r="BN42" s="117" cm="1">
        <f t="array" ref="BN42">SUMPRODUCT(($B42=CapexCategory)*(BN$3=CapExSalvageMonth)*SalGain)</f>
        <v>0</v>
      </c>
      <c r="BO42" s="117" cm="1">
        <f t="array" ref="BO42">SUMPRODUCT(($B42=CapexCategory)*(BO$3=CapExSalvageMonth)*SalGain)</f>
        <v>0</v>
      </c>
      <c r="BP42" s="117" cm="1">
        <f t="array" ref="BP42">SUMPRODUCT(($B42=CapexCategory)*(BP$3=CapExSalvageMonth)*SalGain)</f>
        <v>0</v>
      </c>
      <c r="BQ42" s="117" cm="1">
        <f t="array" ref="BQ42">SUMPRODUCT(($B42=CapexCategory)*(BQ$3=CapExSalvageMonth)*SalGain)</f>
        <v>0</v>
      </c>
      <c r="BR42" s="243" cm="1">
        <f t="array" ref="BR42">SUMPRODUCT(($B42=CapexCategory)*(BR$3=CapExSalvageMonth)*SalGain)</f>
        <v>0</v>
      </c>
    </row>
    <row r="43" spans="1:70" hidden="1" x14ac:dyDescent="0.3">
      <c r="B43" s="159" t="s">
        <v>51</v>
      </c>
      <c r="C43" s="185"/>
      <c r="E43" s="243">
        <f t="shared" si="37"/>
        <v>0</v>
      </c>
      <c r="F43" s="243">
        <f t="shared" si="38"/>
        <v>0</v>
      </c>
      <c r="G43" s="243">
        <f t="shared" si="39"/>
        <v>0</v>
      </c>
      <c r="H43" s="243">
        <f t="shared" si="40"/>
        <v>0</v>
      </c>
      <c r="I43" s="243">
        <f t="shared" si="41"/>
        <v>15</v>
      </c>
      <c r="J43" s="238"/>
      <c r="K43" s="117" cm="1">
        <f t="array" ref="K43">SUMPRODUCT(($B43=CapexCategory)*(K$3=CapExSalvageMonth)*SalGain)</f>
        <v>0</v>
      </c>
      <c r="L43" s="117" cm="1">
        <f t="array" ref="L43">SUMPRODUCT(($B43=CapexCategory)*(L$3=CapExSalvageMonth)*SalGain)</f>
        <v>0</v>
      </c>
      <c r="M43" s="117" cm="1">
        <f t="array" ref="M43">SUMPRODUCT(($B43=CapexCategory)*(M$3=CapExSalvageMonth)*SalGain)</f>
        <v>0</v>
      </c>
      <c r="N43" s="117" cm="1">
        <f t="array" ref="N43">SUMPRODUCT(($B43=CapexCategory)*(N$3=CapExSalvageMonth)*SalGain)</f>
        <v>0</v>
      </c>
      <c r="O43" s="117" cm="1">
        <f t="array" ref="O43">SUMPRODUCT(($B43=CapexCategory)*(O$3=CapExSalvageMonth)*SalGain)</f>
        <v>0</v>
      </c>
      <c r="P43" s="117" cm="1">
        <f t="array" ref="P43">SUMPRODUCT(($B43=CapexCategory)*(P$3=CapExSalvageMonth)*SalGain)</f>
        <v>0</v>
      </c>
      <c r="Q43" s="117" cm="1">
        <f t="array" ref="Q43">SUMPRODUCT(($B43=CapexCategory)*(Q$3=CapExSalvageMonth)*SalGain)</f>
        <v>0</v>
      </c>
      <c r="R43" s="117" cm="1">
        <f t="array" ref="R43">SUMPRODUCT(($B43=CapexCategory)*(R$3=CapExSalvageMonth)*SalGain)</f>
        <v>0</v>
      </c>
      <c r="S43" s="117" cm="1">
        <f t="array" ref="S43">SUMPRODUCT(($B43=CapexCategory)*(S$3=CapExSalvageMonth)*SalGain)</f>
        <v>0</v>
      </c>
      <c r="T43" s="117" cm="1">
        <f t="array" ref="T43">SUMPRODUCT(($B43=CapexCategory)*(T$3=CapExSalvageMonth)*SalGain)</f>
        <v>0</v>
      </c>
      <c r="U43" s="117" cm="1">
        <f t="array" ref="U43">SUMPRODUCT(($B43=CapexCategory)*(U$3=CapExSalvageMonth)*SalGain)</f>
        <v>0</v>
      </c>
      <c r="V43" s="243" cm="1">
        <f t="array" ref="V43">SUMPRODUCT(($B43=CapexCategory)*(V$3=CapExSalvageMonth)*SalGain)</f>
        <v>0</v>
      </c>
      <c r="W43" s="117" cm="1">
        <f t="array" ref="W43">SUMPRODUCT(($B43=CapexCategory)*(W$3=CapExSalvageMonth)*SalGain)</f>
        <v>0</v>
      </c>
      <c r="X43" s="117" cm="1">
        <f t="array" ref="X43">SUMPRODUCT(($B43=CapexCategory)*(X$3=CapExSalvageMonth)*SalGain)</f>
        <v>0</v>
      </c>
      <c r="Y43" s="117" cm="1">
        <f t="array" ref="Y43">SUMPRODUCT(($B43=CapexCategory)*(Y$3=CapExSalvageMonth)*SalGain)</f>
        <v>0</v>
      </c>
      <c r="Z43" s="117" cm="1">
        <f t="array" ref="Z43">SUMPRODUCT(($B43=CapexCategory)*(Z$3=CapExSalvageMonth)*SalGain)</f>
        <v>0</v>
      </c>
      <c r="AA43" s="117" cm="1">
        <f t="array" ref="AA43">SUMPRODUCT(($B43=CapexCategory)*(AA$3=CapExSalvageMonth)*SalGain)</f>
        <v>0</v>
      </c>
      <c r="AB43" s="117" cm="1">
        <f t="array" ref="AB43">SUMPRODUCT(($B43=CapexCategory)*(AB$3=CapExSalvageMonth)*SalGain)</f>
        <v>0</v>
      </c>
      <c r="AC43" s="117" cm="1">
        <f t="array" ref="AC43">SUMPRODUCT(($B43=CapexCategory)*(AC$3=CapExSalvageMonth)*SalGain)</f>
        <v>0</v>
      </c>
      <c r="AD43" s="117" cm="1">
        <f t="array" ref="AD43">SUMPRODUCT(($B43=CapexCategory)*(AD$3=CapExSalvageMonth)*SalGain)</f>
        <v>0</v>
      </c>
      <c r="AE43" s="117" cm="1">
        <f t="array" ref="AE43">SUMPRODUCT(($B43=CapexCategory)*(AE$3=CapExSalvageMonth)*SalGain)</f>
        <v>0</v>
      </c>
      <c r="AF43" s="117" cm="1">
        <f t="array" ref="AF43">SUMPRODUCT(($B43=CapexCategory)*(AF$3=CapExSalvageMonth)*SalGain)</f>
        <v>0</v>
      </c>
      <c r="AG43" s="117" cm="1">
        <f t="array" ref="AG43">SUMPRODUCT(($B43=CapexCategory)*(AG$3=CapExSalvageMonth)*SalGain)</f>
        <v>0</v>
      </c>
      <c r="AH43" s="243" cm="1">
        <f t="array" ref="AH43">SUMPRODUCT(($B43=CapexCategory)*(AH$3=CapExSalvageMonth)*SalGain)</f>
        <v>0</v>
      </c>
      <c r="AI43" s="117" cm="1">
        <f t="array" ref="AI43">SUMPRODUCT(($B43=CapexCategory)*(AI$3=CapExSalvageMonth)*SalGain)</f>
        <v>0</v>
      </c>
      <c r="AJ43" s="117" cm="1">
        <f t="array" ref="AJ43">SUMPRODUCT(($B43=CapexCategory)*(AJ$3=CapExSalvageMonth)*SalGain)</f>
        <v>0</v>
      </c>
      <c r="AK43" s="117" cm="1">
        <f t="array" ref="AK43">SUMPRODUCT(($B43=CapexCategory)*(AK$3=CapExSalvageMonth)*SalGain)</f>
        <v>0</v>
      </c>
      <c r="AL43" s="117" cm="1">
        <f t="array" ref="AL43">SUMPRODUCT(($B43=CapexCategory)*(AL$3=CapExSalvageMonth)*SalGain)</f>
        <v>0</v>
      </c>
      <c r="AM43" s="117" cm="1">
        <f t="array" ref="AM43">SUMPRODUCT(($B43=CapexCategory)*(AM$3=CapExSalvageMonth)*SalGain)</f>
        <v>0</v>
      </c>
      <c r="AN43" s="117" cm="1">
        <f t="array" ref="AN43">SUMPRODUCT(($B43=CapexCategory)*(AN$3=CapExSalvageMonth)*SalGain)</f>
        <v>0</v>
      </c>
      <c r="AO43" s="117" cm="1">
        <f t="array" ref="AO43">SUMPRODUCT(($B43=CapexCategory)*(AO$3=CapExSalvageMonth)*SalGain)</f>
        <v>0</v>
      </c>
      <c r="AP43" s="117" cm="1">
        <f t="array" ref="AP43">SUMPRODUCT(($B43=CapexCategory)*(AP$3=CapExSalvageMonth)*SalGain)</f>
        <v>0</v>
      </c>
      <c r="AQ43" s="117" cm="1">
        <f t="array" ref="AQ43">SUMPRODUCT(($B43=CapexCategory)*(AQ$3=CapExSalvageMonth)*SalGain)</f>
        <v>0</v>
      </c>
      <c r="AR43" s="117" cm="1">
        <f t="array" ref="AR43">SUMPRODUCT(($B43=CapexCategory)*(AR$3=CapExSalvageMonth)*SalGain)</f>
        <v>0</v>
      </c>
      <c r="AS43" s="117" cm="1">
        <f t="array" ref="AS43">SUMPRODUCT(($B43=CapexCategory)*(AS$3=CapExSalvageMonth)*SalGain)</f>
        <v>0</v>
      </c>
      <c r="AT43" s="243" cm="1">
        <f t="array" ref="AT43">SUMPRODUCT(($B43=CapexCategory)*(AT$3=CapExSalvageMonth)*SalGain)</f>
        <v>0</v>
      </c>
      <c r="AU43" s="117" cm="1">
        <f t="array" ref="AU43">SUMPRODUCT(($B43=CapexCategory)*(AU$3=CapExSalvageMonth)*SalGain)</f>
        <v>0</v>
      </c>
      <c r="AV43" s="117" cm="1">
        <f t="array" ref="AV43">SUMPRODUCT(($B43=CapexCategory)*(AV$3=CapExSalvageMonth)*SalGain)</f>
        <v>0</v>
      </c>
      <c r="AW43" s="117" cm="1">
        <f t="array" ref="AW43">SUMPRODUCT(($B43=CapexCategory)*(AW$3=CapExSalvageMonth)*SalGain)</f>
        <v>0</v>
      </c>
      <c r="AX43" s="117" cm="1">
        <f t="array" ref="AX43">SUMPRODUCT(($B43=CapexCategory)*(AX$3=CapExSalvageMonth)*SalGain)</f>
        <v>0</v>
      </c>
      <c r="AY43" s="117" cm="1">
        <f t="array" ref="AY43">SUMPRODUCT(($B43=CapexCategory)*(AY$3=CapExSalvageMonth)*SalGain)</f>
        <v>0</v>
      </c>
      <c r="AZ43" s="117" cm="1">
        <f t="array" ref="AZ43">SUMPRODUCT(($B43=CapexCategory)*(AZ$3=CapExSalvageMonth)*SalGain)</f>
        <v>0</v>
      </c>
      <c r="BA43" s="117" cm="1">
        <f t="array" ref="BA43">SUMPRODUCT(($B43=CapexCategory)*(BA$3=CapExSalvageMonth)*SalGain)</f>
        <v>0</v>
      </c>
      <c r="BB43" s="117" cm="1">
        <f t="array" ref="BB43">SUMPRODUCT(($B43=CapexCategory)*(BB$3=CapExSalvageMonth)*SalGain)</f>
        <v>0</v>
      </c>
      <c r="BC43" s="117" cm="1">
        <f t="array" ref="BC43">SUMPRODUCT(($B43=CapexCategory)*(BC$3=CapExSalvageMonth)*SalGain)</f>
        <v>0</v>
      </c>
      <c r="BD43" s="117" cm="1">
        <f t="array" ref="BD43">SUMPRODUCT(($B43=CapexCategory)*(BD$3=CapExSalvageMonth)*SalGain)</f>
        <v>0</v>
      </c>
      <c r="BE43" s="117" cm="1">
        <f t="array" ref="BE43">SUMPRODUCT(($B43=CapexCategory)*(BE$3=CapExSalvageMonth)*SalGain)</f>
        <v>0</v>
      </c>
      <c r="BF43" s="243" cm="1">
        <f t="array" ref="BF43">SUMPRODUCT(($B43=CapexCategory)*(BF$3=CapExSalvageMonth)*SalGain)</f>
        <v>0</v>
      </c>
      <c r="BG43" s="117" cm="1">
        <f t="array" ref="BG43">SUMPRODUCT(($B43=CapexCategory)*(BG$3=CapExSalvageMonth)*SalGain)</f>
        <v>0</v>
      </c>
      <c r="BH43" s="117" cm="1">
        <f t="array" ref="BH43">SUMPRODUCT(($B43=CapexCategory)*(BH$3=CapExSalvageMonth)*SalGain)</f>
        <v>0</v>
      </c>
      <c r="BI43" s="117" cm="1">
        <f t="array" ref="BI43">SUMPRODUCT(($B43=CapexCategory)*(BI$3=CapExSalvageMonth)*SalGain)</f>
        <v>0</v>
      </c>
      <c r="BJ43" s="117" cm="1">
        <f t="array" ref="BJ43">SUMPRODUCT(($B43=CapexCategory)*(BJ$3=CapExSalvageMonth)*SalGain)</f>
        <v>0</v>
      </c>
      <c r="BK43" s="117" cm="1">
        <f t="array" ref="BK43">SUMPRODUCT(($B43=CapexCategory)*(BK$3=CapExSalvageMonth)*SalGain)</f>
        <v>0</v>
      </c>
      <c r="BL43" s="117" cm="1">
        <f t="array" ref="BL43">SUMPRODUCT(($B43=CapexCategory)*(BL$3=CapExSalvageMonth)*SalGain)</f>
        <v>0</v>
      </c>
      <c r="BM43" s="117" cm="1">
        <f t="array" ref="BM43">SUMPRODUCT(($B43=CapexCategory)*(BM$3=CapExSalvageMonth)*SalGain)</f>
        <v>15</v>
      </c>
      <c r="BN43" s="117" cm="1">
        <f t="array" ref="BN43">SUMPRODUCT(($B43=CapexCategory)*(BN$3=CapExSalvageMonth)*SalGain)</f>
        <v>0</v>
      </c>
      <c r="BO43" s="117" cm="1">
        <f t="array" ref="BO43">SUMPRODUCT(($B43=CapexCategory)*(BO$3=CapExSalvageMonth)*SalGain)</f>
        <v>0</v>
      </c>
      <c r="BP43" s="117" cm="1">
        <f t="array" ref="BP43">SUMPRODUCT(($B43=CapexCategory)*(BP$3=CapExSalvageMonth)*SalGain)</f>
        <v>0</v>
      </c>
      <c r="BQ43" s="117" cm="1">
        <f t="array" ref="BQ43">SUMPRODUCT(($B43=CapexCategory)*(BQ$3=CapExSalvageMonth)*SalGain)</f>
        <v>0</v>
      </c>
      <c r="BR43" s="243" cm="1">
        <f t="array" ref="BR43">SUMPRODUCT(($B43=CapexCategory)*(BR$3=CapExSalvageMonth)*SalGain)</f>
        <v>0</v>
      </c>
    </row>
    <row r="44" spans="1:70" hidden="1" x14ac:dyDescent="0.3">
      <c r="B44" s="159" t="s">
        <v>56</v>
      </c>
      <c r="C44" s="185"/>
      <c r="E44" s="243">
        <f t="shared" si="37"/>
        <v>0</v>
      </c>
      <c r="F44" s="243">
        <f t="shared" si="38"/>
        <v>0</v>
      </c>
      <c r="G44" s="243">
        <f t="shared" si="39"/>
        <v>0</v>
      </c>
      <c r="H44" s="243">
        <f t="shared" si="40"/>
        <v>0</v>
      </c>
      <c r="I44" s="243">
        <f t="shared" si="41"/>
        <v>0</v>
      </c>
      <c r="J44" s="238"/>
      <c r="K44" s="117" cm="1">
        <f t="array" ref="K44">SUMPRODUCT(($B44=CapexCategory)*(K$3=CapExSalvageMonth)*SalGain)</f>
        <v>0</v>
      </c>
      <c r="L44" s="117" cm="1">
        <f t="array" ref="L44">SUMPRODUCT(($B44=CapexCategory)*(L$3=CapExSalvageMonth)*SalGain)</f>
        <v>0</v>
      </c>
      <c r="M44" s="117" cm="1">
        <f t="array" ref="M44">SUMPRODUCT(($B44=CapexCategory)*(M$3=CapExSalvageMonth)*SalGain)</f>
        <v>0</v>
      </c>
      <c r="N44" s="117" cm="1">
        <f t="array" ref="N44">SUMPRODUCT(($B44=CapexCategory)*(N$3=CapExSalvageMonth)*SalGain)</f>
        <v>0</v>
      </c>
      <c r="O44" s="117" cm="1">
        <f t="array" ref="O44">SUMPRODUCT(($B44=CapexCategory)*(O$3=CapExSalvageMonth)*SalGain)</f>
        <v>0</v>
      </c>
      <c r="P44" s="117" cm="1">
        <f t="array" ref="P44">SUMPRODUCT(($B44=CapexCategory)*(P$3=CapExSalvageMonth)*SalGain)</f>
        <v>0</v>
      </c>
      <c r="Q44" s="117" cm="1">
        <f t="array" ref="Q44">SUMPRODUCT(($B44=CapexCategory)*(Q$3=CapExSalvageMonth)*SalGain)</f>
        <v>0</v>
      </c>
      <c r="R44" s="117" cm="1">
        <f t="array" ref="R44">SUMPRODUCT(($B44=CapexCategory)*(R$3=CapExSalvageMonth)*SalGain)</f>
        <v>0</v>
      </c>
      <c r="S44" s="117" cm="1">
        <f t="array" ref="S44">SUMPRODUCT(($B44=CapexCategory)*(S$3=CapExSalvageMonth)*SalGain)</f>
        <v>0</v>
      </c>
      <c r="T44" s="117" cm="1">
        <f t="array" ref="T44">SUMPRODUCT(($B44=CapexCategory)*(T$3=CapExSalvageMonth)*SalGain)</f>
        <v>0</v>
      </c>
      <c r="U44" s="117" cm="1">
        <f t="array" ref="U44">SUMPRODUCT(($B44=CapexCategory)*(U$3=CapExSalvageMonth)*SalGain)</f>
        <v>0</v>
      </c>
      <c r="V44" s="243" cm="1">
        <f t="array" ref="V44">SUMPRODUCT(($B44=CapexCategory)*(V$3=CapExSalvageMonth)*SalGain)</f>
        <v>0</v>
      </c>
      <c r="W44" s="117" cm="1">
        <f t="array" ref="W44">SUMPRODUCT(($B44=CapexCategory)*(W$3=CapExSalvageMonth)*SalGain)</f>
        <v>0</v>
      </c>
      <c r="X44" s="117" cm="1">
        <f t="array" ref="X44">SUMPRODUCT(($B44=CapexCategory)*(X$3=CapExSalvageMonth)*SalGain)</f>
        <v>0</v>
      </c>
      <c r="Y44" s="117" cm="1">
        <f t="array" ref="Y44">SUMPRODUCT(($B44=CapexCategory)*(Y$3=CapExSalvageMonth)*SalGain)</f>
        <v>0</v>
      </c>
      <c r="Z44" s="117" cm="1">
        <f t="array" ref="Z44">SUMPRODUCT(($B44=CapexCategory)*(Z$3=CapExSalvageMonth)*SalGain)</f>
        <v>0</v>
      </c>
      <c r="AA44" s="117" cm="1">
        <f t="array" ref="AA44">SUMPRODUCT(($B44=CapexCategory)*(AA$3=CapExSalvageMonth)*SalGain)</f>
        <v>0</v>
      </c>
      <c r="AB44" s="117" cm="1">
        <f t="array" ref="AB44">SUMPRODUCT(($B44=CapexCategory)*(AB$3=CapExSalvageMonth)*SalGain)</f>
        <v>0</v>
      </c>
      <c r="AC44" s="117" cm="1">
        <f t="array" ref="AC44">SUMPRODUCT(($B44=CapexCategory)*(AC$3=CapExSalvageMonth)*SalGain)</f>
        <v>0</v>
      </c>
      <c r="AD44" s="117" cm="1">
        <f t="array" ref="AD44">SUMPRODUCT(($B44=CapexCategory)*(AD$3=CapExSalvageMonth)*SalGain)</f>
        <v>0</v>
      </c>
      <c r="AE44" s="117" cm="1">
        <f t="array" ref="AE44">SUMPRODUCT(($B44=CapexCategory)*(AE$3=CapExSalvageMonth)*SalGain)</f>
        <v>0</v>
      </c>
      <c r="AF44" s="117" cm="1">
        <f t="array" ref="AF44">SUMPRODUCT(($B44=CapexCategory)*(AF$3=CapExSalvageMonth)*SalGain)</f>
        <v>0</v>
      </c>
      <c r="AG44" s="117" cm="1">
        <f t="array" ref="AG44">SUMPRODUCT(($B44=CapexCategory)*(AG$3=CapExSalvageMonth)*SalGain)</f>
        <v>0</v>
      </c>
      <c r="AH44" s="243" cm="1">
        <f t="array" ref="AH44">SUMPRODUCT(($B44=CapexCategory)*(AH$3=CapExSalvageMonth)*SalGain)</f>
        <v>0</v>
      </c>
      <c r="AI44" s="117" cm="1">
        <f t="array" ref="AI44">SUMPRODUCT(($B44=CapexCategory)*(AI$3=CapExSalvageMonth)*SalGain)</f>
        <v>0</v>
      </c>
      <c r="AJ44" s="117" cm="1">
        <f t="array" ref="AJ44">SUMPRODUCT(($B44=CapexCategory)*(AJ$3=CapExSalvageMonth)*SalGain)</f>
        <v>0</v>
      </c>
      <c r="AK44" s="117" cm="1">
        <f t="array" ref="AK44">SUMPRODUCT(($B44=CapexCategory)*(AK$3=CapExSalvageMonth)*SalGain)</f>
        <v>0</v>
      </c>
      <c r="AL44" s="117" cm="1">
        <f t="array" ref="AL44">SUMPRODUCT(($B44=CapexCategory)*(AL$3=CapExSalvageMonth)*SalGain)</f>
        <v>0</v>
      </c>
      <c r="AM44" s="117" cm="1">
        <f t="array" ref="AM44">SUMPRODUCT(($B44=CapexCategory)*(AM$3=CapExSalvageMonth)*SalGain)</f>
        <v>0</v>
      </c>
      <c r="AN44" s="117" cm="1">
        <f t="array" ref="AN44">SUMPRODUCT(($B44=CapexCategory)*(AN$3=CapExSalvageMonth)*SalGain)</f>
        <v>0</v>
      </c>
      <c r="AO44" s="117" cm="1">
        <f t="array" ref="AO44">SUMPRODUCT(($B44=CapexCategory)*(AO$3=CapExSalvageMonth)*SalGain)</f>
        <v>0</v>
      </c>
      <c r="AP44" s="117" cm="1">
        <f t="array" ref="AP44">SUMPRODUCT(($B44=CapexCategory)*(AP$3=CapExSalvageMonth)*SalGain)</f>
        <v>0</v>
      </c>
      <c r="AQ44" s="117" cm="1">
        <f t="array" ref="AQ44">SUMPRODUCT(($B44=CapexCategory)*(AQ$3=CapExSalvageMonth)*SalGain)</f>
        <v>0</v>
      </c>
      <c r="AR44" s="117" cm="1">
        <f t="array" ref="AR44">SUMPRODUCT(($B44=CapexCategory)*(AR$3=CapExSalvageMonth)*SalGain)</f>
        <v>0</v>
      </c>
      <c r="AS44" s="117" cm="1">
        <f t="array" ref="AS44">SUMPRODUCT(($B44=CapexCategory)*(AS$3=CapExSalvageMonth)*SalGain)</f>
        <v>0</v>
      </c>
      <c r="AT44" s="243" cm="1">
        <f t="array" ref="AT44">SUMPRODUCT(($B44=CapexCategory)*(AT$3=CapExSalvageMonth)*SalGain)</f>
        <v>0</v>
      </c>
      <c r="AU44" s="117" cm="1">
        <f t="array" ref="AU44">SUMPRODUCT(($B44=CapexCategory)*(AU$3=CapExSalvageMonth)*SalGain)</f>
        <v>0</v>
      </c>
      <c r="AV44" s="117" cm="1">
        <f t="array" ref="AV44">SUMPRODUCT(($B44=CapexCategory)*(AV$3=CapExSalvageMonth)*SalGain)</f>
        <v>0</v>
      </c>
      <c r="AW44" s="117" cm="1">
        <f t="array" ref="AW44">SUMPRODUCT(($B44=CapexCategory)*(AW$3=CapExSalvageMonth)*SalGain)</f>
        <v>0</v>
      </c>
      <c r="AX44" s="117" cm="1">
        <f t="array" ref="AX44">SUMPRODUCT(($B44=CapexCategory)*(AX$3=CapExSalvageMonth)*SalGain)</f>
        <v>0</v>
      </c>
      <c r="AY44" s="117" cm="1">
        <f t="array" ref="AY44">SUMPRODUCT(($B44=CapexCategory)*(AY$3=CapExSalvageMonth)*SalGain)</f>
        <v>0</v>
      </c>
      <c r="AZ44" s="117" cm="1">
        <f t="array" ref="AZ44">SUMPRODUCT(($B44=CapexCategory)*(AZ$3=CapExSalvageMonth)*SalGain)</f>
        <v>0</v>
      </c>
      <c r="BA44" s="117" cm="1">
        <f t="array" ref="BA44">SUMPRODUCT(($B44=CapexCategory)*(BA$3=CapExSalvageMonth)*SalGain)</f>
        <v>0</v>
      </c>
      <c r="BB44" s="117" cm="1">
        <f t="array" ref="BB44">SUMPRODUCT(($B44=CapexCategory)*(BB$3=CapExSalvageMonth)*SalGain)</f>
        <v>0</v>
      </c>
      <c r="BC44" s="117" cm="1">
        <f t="array" ref="BC44">SUMPRODUCT(($B44=CapexCategory)*(BC$3=CapExSalvageMonth)*SalGain)</f>
        <v>0</v>
      </c>
      <c r="BD44" s="117" cm="1">
        <f t="array" ref="BD44">SUMPRODUCT(($B44=CapexCategory)*(BD$3=CapExSalvageMonth)*SalGain)</f>
        <v>0</v>
      </c>
      <c r="BE44" s="117" cm="1">
        <f t="array" ref="BE44">SUMPRODUCT(($B44=CapexCategory)*(BE$3=CapExSalvageMonth)*SalGain)</f>
        <v>0</v>
      </c>
      <c r="BF44" s="243" cm="1">
        <f t="array" ref="BF44">SUMPRODUCT(($B44=CapexCategory)*(BF$3=CapExSalvageMonth)*SalGain)</f>
        <v>0</v>
      </c>
      <c r="BG44" s="117" cm="1">
        <f t="array" ref="BG44">SUMPRODUCT(($B44=CapexCategory)*(BG$3=CapExSalvageMonth)*SalGain)</f>
        <v>0</v>
      </c>
      <c r="BH44" s="117" cm="1">
        <f t="array" ref="BH44">SUMPRODUCT(($B44=CapexCategory)*(BH$3=CapExSalvageMonth)*SalGain)</f>
        <v>0</v>
      </c>
      <c r="BI44" s="117" cm="1">
        <f t="array" ref="BI44">SUMPRODUCT(($B44=CapexCategory)*(BI$3=CapExSalvageMonth)*SalGain)</f>
        <v>0</v>
      </c>
      <c r="BJ44" s="117" cm="1">
        <f t="array" ref="BJ44">SUMPRODUCT(($B44=CapexCategory)*(BJ$3=CapExSalvageMonth)*SalGain)</f>
        <v>0</v>
      </c>
      <c r="BK44" s="117" cm="1">
        <f t="array" ref="BK44">SUMPRODUCT(($B44=CapexCategory)*(BK$3=CapExSalvageMonth)*SalGain)</f>
        <v>0</v>
      </c>
      <c r="BL44" s="117" cm="1">
        <f t="array" ref="BL44">SUMPRODUCT(($B44=CapexCategory)*(BL$3=CapExSalvageMonth)*SalGain)</f>
        <v>0</v>
      </c>
      <c r="BM44" s="117" cm="1">
        <f t="array" ref="BM44">SUMPRODUCT(($B44=CapexCategory)*(BM$3=CapExSalvageMonth)*SalGain)</f>
        <v>0</v>
      </c>
      <c r="BN44" s="117" cm="1">
        <f t="array" ref="BN44">SUMPRODUCT(($B44=CapexCategory)*(BN$3=CapExSalvageMonth)*SalGain)</f>
        <v>0</v>
      </c>
      <c r="BO44" s="117" cm="1">
        <f t="array" ref="BO44">SUMPRODUCT(($B44=CapexCategory)*(BO$3=CapExSalvageMonth)*SalGain)</f>
        <v>0</v>
      </c>
      <c r="BP44" s="117" cm="1">
        <f t="array" ref="BP44">SUMPRODUCT(($B44=CapexCategory)*(BP$3=CapExSalvageMonth)*SalGain)</f>
        <v>0</v>
      </c>
      <c r="BQ44" s="117" cm="1">
        <f t="array" ref="BQ44">SUMPRODUCT(($B44=CapexCategory)*(BQ$3=CapExSalvageMonth)*SalGain)</f>
        <v>0</v>
      </c>
      <c r="BR44" s="243" cm="1">
        <f t="array" ref="BR44">SUMPRODUCT(($B44=CapexCategory)*(BR$3=CapExSalvageMonth)*SalGain)</f>
        <v>0</v>
      </c>
    </row>
    <row r="45" spans="1:70" hidden="1" x14ac:dyDescent="0.3">
      <c r="B45" s="159" t="s">
        <v>60</v>
      </c>
      <c r="C45" s="185"/>
      <c r="E45" s="243">
        <f t="shared" si="37"/>
        <v>-32</v>
      </c>
      <c r="F45" s="243">
        <f t="shared" si="38"/>
        <v>0</v>
      </c>
      <c r="G45" s="243">
        <f t="shared" si="39"/>
        <v>0</v>
      </c>
      <c r="H45" s="243">
        <f t="shared" si="40"/>
        <v>0</v>
      </c>
      <c r="I45" s="243">
        <f t="shared" si="41"/>
        <v>0</v>
      </c>
      <c r="J45" s="238"/>
      <c r="K45" s="117" cm="1">
        <f t="array" ref="K45">SUMPRODUCT(($B45=CapexCategory)*(K$3=CapExSalvageMonth)*SalGain)</f>
        <v>0</v>
      </c>
      <c r="L45" s="117" cm="1">
        <f t="array" ref="L45">SUMPRODUCT(($B45=CapexCategory)*(L$3=CapExSalvageMonth)*SalGain)</f>
        <v>0</v>
      </c>
      <c r="M45" s="117" cm="1">
        <f t="array" ref="M45">SUMPRODUCT(($B45=CapexCategory)*(M$3=CapExSalvageMonth)*SalGain)</f>
        <v>0</v>
      </c>
      <c r="N45" s="117" cm="1">
        <f t="array" ref="N45">SUMPRODUCT(($B45=CapexCategory)*(N$3=CapExSalvageMonth)*SalGain)</f>
        <v>0</v>
      </c>
      <c r="O45" s="117" cm="1">
        <f t="array" ref="O45">SUMPRODUCT(($B45=CapexCategory)*(O$3=CapExSalvageMonth)*SalGain)</f>
        <v>0</v>
      </c>
      <c r="P45" s="117" cm="1">
        <f t="array" ref="P45">SUMPRODUCT(($B45=CapexCategory)*(P$3=CapExSalvageMonth)*SalGain)</f>
        <v>0</v>
      </c>
      <c r="Q45" s="117" cm="1">
        <f t="array" ref="Q45">SUMPRODUCT(($B45=CapexCategory)*(Q$3=CapExSalvageMonth)*SalGain)</f>
        <v>0</v>
      </c>
      <c r="R45" s="117" cm="1">
        <f t="array" ref="R45">SUMPRODUCT(($B45=CapexCategory)*(R$3=CapExSalvageMonth)*SalGain)</f>
        <v>0</v>
      </c>
      <c r="S45" s="117" cm="1">
        <f t="array" ref="S45">SUMPRODUCT(($B45=CapexCategory)*(S$3=CapExSalvageMonth)*SalGain)</f>
        <v>0</v>
      </c>
      <c r="T45" s="117" cm="1">
        <f t="array" ref="T45">SUMPRODUCT(($B45=CapexCategory)*(T$3=CapExSalvageMonth)*SalGain)</f>
        <v>0</v>
      </c>
      <c r="U45" s="117" cm="1">
        <f t="array" ref="U45">SUMPRODUCT(($B45=CapexCategory)*(U$3=CapExSalvageMonth)*SalGain)</f>
        <v>0</v>
      </c>
      <c r="V45" s="243" cm="1">
        <f t="array" ref="V45">SUMPRODUCT(($B45=CapexCategory)*(V$3=CapExSalvageMonth)*SalGain)</f>
        <v>-32</v>
      </c>
      <c r="W45" s="117" cm="1">
        <f t="array" ref="W45">SUMPRODUCT(($B45=CapexCategory)*(W$3=CapExSalvageMonth)*SalGain)</f>
        <v>0</v>
      </c>
      <c r="X45" s="117" cm="1">
        <f t="array" ref="X45">SUMPRODUCT(($B45=CapexCategory)*(X$3=CapExSalvageMonth)*SalGain)</f>
        <v>0</v>
      </c>
      <c r="Y45" s="117" cm="1">
        <f t="array" ref="Y45">SUMPRODUCT(($B45=CapexCategory)*(Y$3=CapExSalvageMonth)*SalGain)</f>
        <v>0</v>
      </c>
      <c r="Z45" s="117" cm="1">
        <f t="array" ref="Z45">SUMPRODUCT(($B45=CapexCategory)*(Z$3=CapExSalvageMonth)*SalGain)</f>
        <v>0</v>
      </c>
      <c r="AA45" s="117" cm="1">
        <f t="array" ref="AA45">SUMPRODUCT(($B45=CapexCategory)*(AA$3=CapExSalvageMonth)*SalGain)</f>
        <v>0</v>
      </c>
      <c r="AB45" s="117" cm="1">
        <f t="array" ref="AB45">SUMPRODUCT(($B45=CapexCategory)*(AB$3=CapExSalvageMonth)*SalGain)</f>
        <v>0</v>
      </c>
      <c r="AC45" s="117" cm="1">
        <f t="array" ref="AC45">SUMPRODUCT(($B45=CapexCategory)*(AC$3=CapExSalvageMonth)*SalGain)</f>
        <v>0</v>
      </c>
      <c r="AD45" s="117" cm="1">
        <f t="array" ref="AD45">SUMPRODUCT(($B45=CapexCategory)*(AD$3=CapExSalvageMonth)*SalGain)</f>
        <v>0</v>
      </c>
      <c r="AE45" s="117" cm="1">
        <f t="array" ref="AE45">SUMPRODUCT(($B45=CapexCategory)*(AE$3=CapExSalvageMonth)*SalGain)</f>
        <v>0</v>
      </c>
      <c r="AF45" s="117" cm="1">
        <f t="array" ref="AF45">SUMPRODUCT(($B45=CapexCategory)*(AF$3=CapExSalvageMonth)*SalGain)</f>
        <v>0</v>
      </c>
      <c r="AG45" s="117" cm="1">
        <f t="array" ref="AG45">SUMPRODUCT(($B45=CapexCategory)*(AG$3=CapExSalvageMonth)*SalGain)</f>
        <v>0</v>
      </c>
      <c r="AH45" s="243" cm="1">
        <f t="array" ref="AH45">SUMPRODUCT(($B45=CapexCategory)*(AH$3=CapExSalvageMonth)*SalGain)</f>
        <v>0</v>
      </c>
      <c r="AI45" s="117" cm="1">
        <f t="array" ref="AI45">SUMPRODUCT(($B45=CapexCategory)*(AI$3=CapExSalvageMonth)*SalGain)</f>
        <v>0</v>
      </c>
      <c r="AJ45" s="117" cm="1">
        <f t="array" ref="AJ45">SUMPRODUCT(($B45=CapexCategory)*(AJ$3=CapExSalvageMonth)*SalGain)</f>
        <v>0</v>
      </c>
      <c r="AK45" s="117" cm="1">
        <f t="array" ref="AK45">SUMPRODUCT(($B45=CapexCategory)*(AK$3=CapExSalvageMonth)*SalGain)</f>
        <v>0</v>
      </c>
      <c r="AL45" s="117" cm="1">
        <f t="array" ref="AL45">SUMPRODUCT(($B45=CapexCategory)*(AL$3=CapExSalvageMonth)*SalGain)</f>
        <v>0</v>
      </c>
      <c r="AM45" s="117" cm="1">
        <f t="array" ref="AM45">SUMPRODUCT(($B45=CapexCategory)*(AM$3=CapExSalvageMonth)*SalGain)</f>
        <v>0</v>
      </c>
      <c r="AN45" s="117" cm="1">
        <f t="array" ref="AN45">SUMPRODUCT(($B45=CapexCategory)*(AN$3=CapExSalvageMonth)*SalGain)</f>
        <v>0</v>
      </c>
      <c r="AO45" s="117" cm="1">
        <f t="array" ref="AO45">SUMPRODUCT(($B45=CapexCategory)*(AO$3=CapExSalvageMonth)*SalGain)</f>
        <v>0</v>
      </c>
      <c r="AP45" s="117" cm="1">
        <f t="array" ref="AP45">SUMPRODUCT(($B45=CapexCategory)*(AP$3=CapExSalvageMonth)*SalGain)</f>
        <v>0</v>
      </c>
      <c r="AQ45" s="117" cm="1">
        <f t="array" ref="AQ45">SUMPRODUCT(($B45=CapexCategory)*(AQ$3=CapExSalvageMonth)*SalGain)</f>
        <v>0</v>
      </c>
      <c r="AR45" s="117" cm="1">
        <f t="array" ref="AR45">SUMPRODUCT(($B45=CapexCategory)*(AR$3=CapExSalvageMonth)*SalGain)</f>
        <v>0</v>
      </c>
      <c r="AS45" s="117" cm="1">
        <f t="array" ref="AS45">SUMPRODUCT(($B45=CapexCategory)*(AS$3=CapExSalvageMonth)*SalGain)</f>
        <v>0</v>
      </c>
      <c r="AT45" s="243" cm="1">
        <f t="array" ref="AT45">SUMPRODUCT(($B45=CapexCategory)*(AT$3=CapExSalvageMonth)*SalGain)</f>
        <v>0</v>
      </c>
      <c r="AU45" s="117" cm="1">
        <f t="array" ref="AU45">SUMPRODUCT(($B45=CapexCategory)*(AU$3=CapExSalvageMonth)*SalGain)</f>
        <v>0</v>
      </c>
      <c r="AV45" s="117" cm="1">
        <f t="array" ref="AV45">SUMPRODUCT(($B45=CapexCategory)*(AV$3=CapExSalvageMonth)*SalGain)</f>
        <v>0</v>
      </c>
      <c r="AW45" s="117" cm="1">
        <f t="array" ref="AW45">SUMPRODUCT(($B45=CapexCategory)*(AW$3=CapExSalvageMonth)*SalGain)</f>
        <v>0</v>
      </c>
      <c r="AX45" s="117" cm="1">
        <f t="array" ref="AX45">SUMPRODUCT(($B45=CapexCategory)*(AX$3=CapExSalvageMonth)*SalGain)</f>
        <v>0</v>
      </c>
      <c r="AY45" s="117" cm="1">
        <f t="array" ref="AY45">SUMPRODUCT(($B45=CapexCategory)*(AY$3=CapExSalvageMonth)*SalGain)</f>
        <v>0</v>
      </c>
      <c r="AZ45" s="117" cm="1">
        <f t="array" ref="AZ45">SUMPRODUCT(($B45=CapexCategory)*(AZ$3=CapExSalvageMonth)*SalGain)</f>
        <v>0</v>
      </c>
      <c r="BA45" s="117" cm="1">
        <f t="array" ref="BA45">SUMPRODUCT(($B45=CapexCategory)*(BA$3=CapExSalvageMonth)*SalGain)</f>
        <v>0</v>
      </c>
      <c r="BB45" s="117" cm="1">
        <f t="array" ref="BB45">SUMPRODUCT(($B45=CapexCategory)*(BB$3=CapExSalvageMonth)*SalGain)</f>
        <v>0</v>
      </c>
      <c r="BC45" s="117" cm="1">
        <f t="array" ref="BC45">SUMPRODUCT(($B45=CapexCategory)*(BC$3=CapExSalvageMonth)*SalGain)</f>
        <v>0</v>
      </c>
      <c r="BD45" s="117" cm="1">
        <f t="array" ref="BD45">SUMPRODUCT(($B45=CapexCategory)*(BD$3=CapExSalvageMonth)*SalGain)</f>
        <v>0</v>
      </c>
      <c r="BE45" s="117" cm="1">
        <f t="array" ref="BE45">SUMPRODUCT(($B45=CapexCategory)*(BE$3=CapExSalvageMonth)*SalGain)</f>
        <v>0</v>
      </c>
      <c r="BF45" s="243" cm="1">
        <f t="array" ref="BF45">SUMPRODUCT(($B45=CapexCategory)*(BF$3=CapExSalvageMonth)*SalGain)</f>
        <v>0</v>
      </c>
      <c r="BG45" s="117" cm="1">
        <f t="array" ref="BG45">SUMPRODUCT(($B45=CapexCategory)*(BG$3=CapExSalvageMonth)*SalGain)</f>
        <v>0</v>
      </c>
      <c r="BH45" s="117" cm="1">
        <f t="array" ref="BH45">SUMPRODUCT(($B45=CapexCategory)*(BH$3=CapExSalvageMonth)*SalGain)</f>
        <v>0</v>
      </c>
      <c r="BI45" s="117" cm="1">
        <f t="array" ref="BI45">SUMPRODUCT(($B45=CapexCategory)*(BI$3=CapExSalvageMonth)*SalGain)</f>
        <v>0</v>
      </c>
      <c r="BJ45" s="117" cm="1">
        <f t="array" ref="BJ45">SUMPRODUCT(($B45=CapexCategory)*(BJ$3=CapExSalvageMonth)*SalGain)</f>
        <v>0</v>
      </c>
      <c r="BK45" s="117" cm="1">
        <f t="array" ref="BK45">SUMPRODUCT(($B45=CapexCategory)*(BK$3=CapExSalvageMonth)*SalGain)</f>
        <v>0</v>
      </c>
      <c r="BL45" s="117" cm="1">
        <f t="array" ref="BL45">SUMPRODUCT(($B45=CapexCategory)*(BL$3=CapExSalvageMonth)*SalGain)</f>
        <v>0</v>
      </c>
      <c r="BM45" s="117" cm="1">
        <f t="array" ref="BM45">SUMPRODUCT(($B45=CapexCategory)*(BM$3=CapExSalvageMonth)*SalGain)</f>
        <v>0</v>
      </c>
      <c r="BN45" s="117" cm="1">
        <f t="array" ref="BN45">SUMPRODUCT(($B45=CapexCategory)*(BN$3=CapExSalvageMonth)*SalGain)</f>
        <v>0</v>
      </c>
      <c r="BO45" s="117" cm="1">
        <f t="array" ref="BO45">SUMPRODUCT(($B45=CapexCategory)*(BO$3=CapExSalvageMonth)*SalGain)</f>
        <v>0</v>
      </c>
      <c r="BP45" s="117" cm="1">
        <f t="array" ref="BP45">SUMPRODUCT(($B45=CapexCategory)*(BP$3=CapExSalvageMonth)*SalGain)</f>
        <v>0</v>
      </c>
      <c r="BQ45" s="117" cm="1">
        <f t="array" ref="BQ45">SUMPRODUCT(($B45=CapexCategory)*(BQ$3=CapExSalvageMonth)*SalGain)</f>
        <v>0</v>
      </c>
      <c r="BR45" s="243" cm="1">
        <f t="array" ref="BR45">SUMPRODUCT(($B45=CapexCategory)*(BR$3=CapExSalvageMonth)*SalGain)</f>
        <v>0</v>
      </c>
    </row>
    <row r="46" spans="1:70" hidden="1" x14ac:dyDescent="0.3">
      <c r="B46" s="159" t="s">
        <v>65</v>
      </c>
      <c r="C46" s="185"/>
      <c r="E46" s="243">
        <f t="shared" si="37"/>
        <v>0</v>
      </c>
      <c r="F46" s="243">
        <f t="shared" si="38"/>
        <v>0</v>
      </c>
      <c r="G46" s="243">
        <f t="shared" si="39"/>
        <v>0</v>
      </c>
      <c r="H46" s="243">
        <f t="shared" si="40"/>
        <v>0</v>
      </c>
      <c r="I46" s="243">
        <f t="shared" si="41"/>
        <v>0</v>
      </c>
      <c r="J46" s="238"/>
      <c r="K46" s="117" cm="1">
        <f t="array" ref="K46">SUMPRODUCT(($B46=CapexCategory)*(K$3=CapExSalvageMonth)*SalGain)</f>
        <v>0</v>
      </c>
      <c r="L46" s="117" cm="1">
        <f t="array" ref="L46">SUMPRODUCT(($B46=CapexCategory)*(L$3=CapExSalvageMonth)*SalGain)</f>
        <v>0</v>
      </c>
      <c r="M46" s="117" cm="1">
        <f t="array" ref="M46">SUMPRODUCT(($B46=CapexCategory)*(M$3=CapExSalvageMonth)*SalGain)</f>
        <v>0</v>
      </c>
      <c r="N46" s="117" cm="1">
        <f t="array" ref="N46">SUMPRODUCT(($B46=CapexCategory)*(N$3=CapExSalvageMonth)*SalGain)</f>
        <v>0</v>
      </c>
      <c r="O46" s="117" cm="1">
        <f t="array" ref="O46">SUMPRODUCT(($B46=CapexCategory)*(O$3=CapExSalvageMonth)*SalGain)</f>
        <v>0</v>
      </c>
      <c r="P46" s="117" cm="1">
        <f t="array" ref="P46">SUMPRODUCT(($B46=CapexCategory)*(P$3=CapExSalvageMonth)*SalGain)</f>
        <v>0</v>
      </c>
      <c r="Q46" s="117" cm="1">
        <f t="array" ref="Q46">SUMPRODUCT(($B46=CapexCategory)*(Q$3=CapExSalvageMonth)*SalGain)</f>
        <v>0</v>
      </c>
      <c r="R46" s="117" cm="1">
        <f t="array" ref="R46">SUMPRODUCT(($B46=CapexCategory)*(R$3=CapExSalvageMonth)*SalGain)</f>
        <v>0</v>
      </c>
      <c r="S46" s="117" cm="1">
        <f t="array" ref="S46">SUMPRODUCT(($B46=CapexCategory)*(S$3=CapExSalvageMonth)*SalGain)</f>
        <v>0</v>
      </c>
      <c r="T46" s="117" cm="1">
        <f t="array" ref="T46">SUMPRODUCT(($B46=CapexCategory)*(T$3=CapExSalvageMonth)*SalGain)</f>
        <v>0</v>
      </c>
      <c r="U46" s="117" cm="1">
        <f t="array" ref="U46">SUMPRODUCT(($B46=CapexCategory)*(U$3=CapExSalvageMonth)*SalGain)</f>
        <v>0</v>
      </c>
      <c r="V46" s="243" cm="1">
        <f t="array" ref="V46">SUMPRODUCT(($B46=CapexCategory)*(V$3=CapExSalvageMonth)*SalGain)</f>
        <v>0</v>
      </c>
      <c r="W46" s="117" cm="1">
        <f t="array" ref="W46">SUMPRODUCT(($B46=CapexCategory)*(W$3=CapExSalvageMonth)*SalGain)</f>
        <v>0</v>
      </c>
      <c r="X46" s="117" cm="1">
        <f t="array" ref="X46">SUMPRODUCT(($B46=CapexCategory)*(X$3=CapExSalvageMonth)*SalGain)</f>
        <v>0</v>
      </c>
      <c r="Y46" s="117" cm="1">
        <f t="array" ref="Y46">SUMPRODUCT(($B46=CapexCategory)*(Y$3=CapExSalvageMonth)*SalGain)</f>
        <v>0</v>
      </c>
      <c r="Z46" s="117" cm="1">
        <f t="array" ref="Z46">SUMPRODUCT(($B46=CapexCategory)*(Z$3=CapExSalvageMonth)*SalGain)</f>
        <v>0</v>
      </c>
      <c r="AA46" s="117" cm="1">
        <f t="array" ref="AA46">SUMPRODUCT(($B46=CapexCategory)*(AA$3=CapExSalvageMonth)*SalGain)</f>
        <v>0</v>
      </c>
      <c r="AB46" s="117" cm="1">
        <f t="array" ref="AB46">SUMPRODUCT(($B46=CapexCategory)*(AB$3=CapExSalvageMonth)*SalGain)</f>
        <v>0</v>
      </c>
      <c r="AC46" s="117" cm="1">
        <f t="array" ref="AC46">SUMPRODUCT(($B46=CapexCategory)*(AC$3=CapExSalvageMonth)*SalGain)</f>
        <v>0</v>
      </c>
      <c r="AD46" s="117" cm="1">
        <f t="array" ref="AD46">SUMPRODUCT(($B46=CapexCategory)*(AD$3=CapExSalvageMonth)*SalGain)</f>
        <v>0</v>
      </c>
      <c r="AE46" s="117" cm="1">
        <f t="array" ref="AE46">SUMPRODUCT(($B46=CapexCategory)*(AE$3=CapExSalvageMonth)*SalGain)</f>
        <v>0</v>
      </c>
      <c r="AF46" s="117" cm="1">
        <f t="array" ref="AF46">SUMPRODUCT(($B46=CapexCategory)*(AF$3=CapExSalvageMonth)*SalGain)</f>
        <v>0</v>
      </c>
      <c r="AG46" s="117" cm="1">
        <f t="array" ref="AG46">SUMPRODUCT(($B46=CapexCategory)*(AG$3=CapExSalvageMonth)*SalGain)</f>
        <v>0</v>
      </c>
      <c r="AH46" s="243" cm="1">
        <f t="array" ref="AH46">SUMPRODUCT(($B46=CapexCategory)*(AH$3=CapExSalvageMonth)*SalGain)</f>
        <v>0</v>
      </c>
      <c r="AI46" s="117" cm="1">
        <f t="array" ref="AI46">SUMPRODUCT(($B46=CapexCategory)*(AI$3=CapExSalvageMonth)*SalGain)</f>
        <v>0</v>
      </c>
      <c r="AJ46" s="117" cm="1">
        <f t="array" ref="AJ46">SUMPRODUCT(($B46=CapexCategory)*(AJ$3=CapExSalvageMonth)*SalGain)</f>
        <v>0</v>
      </c>
      <c r="AK46" s="117" cm="1">
        <f t="array" ref="AK46">SUMPRODUCT(($B46=CapexCategory)*(AK$3=CapExSalvageMonth)*SalGain)</f>
        <v>0</v>
      </c>
      <c r="AL46" s="117" cm="1">
        <f t="array" ref="AL46">SUMPRODUCT(($B46=CapexCategory)*(AL$3=CapExSalvageMonth)*SalGain)</f>
        <v>0</v>
      </c>
      <c r="AM46" s="117" cm="1">
        <f t="array" ref="AM46">SUMPRODUCT(($B46=CapexCategory)*(AM$3=CapExSalvageMonth)*SalGain)</f>
        <v>0</v>
      </c>
      <c r="AN46" s="117" cm="1">
        <f t="array" ref="AN46">SUMPRODUCT(($B46=CapexCategory)*(AN$3=CapExSalvageMonth)*SalGain)</f>
        <v>0</v>
      </c>
      <c r="AO46" s="117" cm="1">
        <f t="array" ref="AO46">SUMPRODUCT(($B46=CapexCategory)*(AO$3=CapExSalvageMonth)*SalGain)</f>
        <v>0</v>
      </c>
      <c r="AP46" s="117" cm="1">
        <f t="array" ref="AP46">SUMPRODUCT(($B46=CapexCategory)*(AP$3=CapExSalvageMonth)*SalGain)</f>
        <v>0</v>
      </c>
      <c r="AQ46" s="117" cm="1">
        <f t="array" ref="AQ46">SUMPRODUCT(($B46=CapexCategory)*(AQ$3=CapExSalvageMonth)*SalGain)</f>
        <v>0</v>
      </c>
      <c r="AR46" s="117" cm="1">
        <f t="array" ref="AR46">SUMPRODUCT(($B46=CapexCategory)*(AR$3=CapExSalvageMonth)*SalGain)</f>
        <v>0</v>
      </c>
      <c r="AS46" s="117" cm="1">
        <f t="array" ref="AS46">SUMPRODUCT(($B46=CapexCategory)*(AS$3=CapExSalvageMonth)*SalGain)</f>
        <v>0</v>
      </c>
      <c r="AT46" s="243" cm="1">
        <f t="array" ref="AT46">SUMPRODUCT(($B46=CapexCategory)*(AT$3=CapExSalvageMonth)*SalGain)</f>
        <v>0</v>
      </c>
      <c r="AU46" s="117" cm="1">
        <f t="array" ref="AU46">SUMPRODUCT(($B46=CapexCategory)*(AU$3=CapExSalvageMonth)*SalGain)</f>
        <v>0</v>
      </c>
      <c r="AV46" s="117" cm="1">
        <f t="array" ref="AV46">SUMPRODUCT(($B46=CapexCategory)*(AV$3=CapExSalvageMonth)*SalGain)</f>
        <v>0</v>
      </c>
      <c r="AW46" s="117" cm="1">
        <f t="array" ref="AW46">SUMPRODUCT(($B46=CapexCategory)*(AW$3=CapExSalvageMonth)*SalGain)</f>
        <v>0</v>
      </c>
      <c r="AX46" s="117" cm="1">
        <f t="array" ref="AX46">SUMPRODUCT(($B46=CapexCategory)*(AX$3=CapExSalvageMonth)*SalGain)</f>
        <v>0</v>
      </c>
      <c r="AY46" s="117" cm="1">
        <f t="array" ref="AY46">SUMPRODUCT(($B46=CapexCategory)*(AY$3=CapExSalvageMonth)*SalGain)</f>
        <v>0</v>
      </c>
      <c r="AZ46" s="117" cm="1">
        <f t="array" ref="AZ46">SUMPRODUCT(($B46=CapexCategory)*(AZ$3=CapExSalvageMonth)*SalGain)</f>
        <v>0</v>
      </c>
      <c r="BA46" s="117" cm="1">
        <f t="array" ref="BA46">SUMPRODUCT(($B46=CapexCategory)*(BA$3=CapExSalvageMonth)*SalGain)</f>
        <v>0</v>
      </c>
      <c r="BB46" s="117" cm="1">
        <f t="array" ref="BB46">SUMPRODUCT(($B46=CapexCategory)*(BB$3=CapExSalvageMonth)*SalGain)</f>
        <v>0</v>
      </c>
      <c r="BC46" s="117" cm="1">
        <f t="array" ref="BC46">SUMPRODUCT(($B46=CapexCategory)*(BC$3=CapExSalvageMonth)*SalGain)</f>
        <v>0</v>
      </c>
      <c r="BD46" s="117" cm="1">
        <f t="array" ref="BD46">SUMPRODUCT(($B46=CapexCategory)*(BD$3=CapExSalvageMonth)*SalGain)</f>
        <v>0</v>
      </c>
      <c r="BE46" s="117" cm="1">
        <f t="array" ref="BE46">SUMPRODUCT(($B46=CapexCategory)*(BE$3=CapExSalvageMonth)*SalGain)</f>
        <v>0</v>
      </c>
      <c r="BF46" s="243" cm="1">
        <f t="array" ref="BF46">SUMPRODUCT(($B46=CapexCategory)*(BF$3=CapExSalvageMonth)*SalGain)</f>
        <v>0</v>
      </c>
      <c r="BG46" s="117" cm="1">
        <f t="array" ref="BG46">SUMPRODUCT(($B46=CapexCategory)*(BG$3=CapExSalvageMonth)*SalGain)</f>
        <v>0</v>
      </c>
      <c r="BH46" s="117" cm="1">
        <f t="array" ref="BH46">SUMPRODUCT(($B46=CapexCategory)*(BH$3=CapExSalvageMonth)*SalGain)</f>
        <v>0</v>
      </c>
      <c r="BI46" s="117" cm="1">
        <f t="array" ref="BI46">SUMPRODUCT(($B46=CapexCategory)*(BI$3=CapExSalvageMonth)*SalGain)</f>
        <v>0</v>
      </c>
      <c r="BJ46" s="117" cm="1">
        <f t="array" ref="BJ46">SUMPRODUCT(($B46=CapexCategory)*(BJ$3=CapExSalvageMonth)*SalGain)</f>
        <v>0</v>
      </c>
      <c r="BK46" s="117" cm="1">
        <f t="array" ref="BK46">SUMPRODUCT(($B46=CapexCategory)*(BK$3=CapExSalvageMonth)*SalGain)</f>
        <v>0</v>
      </c>
      <c r="BL46" s="117" cm="1">
        <f t="array" ref="BL46">SUMPRODUCT(($B46=CapexCategory)*(BL$3=CapExSalvageMonth)*SalGain)</f>
        <v>0</v>
      </c>
      <c r="BM46" s="117" cm="1">
        <f t="array" ref="BM46">SUMPRODUCT(($B46=CapexCategory)*(BM$3=CapExSalvageMonth)*SalGain)</f>
        <v>0</v>
      </c>
      <c r="BN46" s="117" cm="1">
        <f t="array" ref="BN46">SUMPRODUCT(($B46=CapexCategory)*(BN$3=CapExSalvageMonth)*SalGain)</f>
        <v>0</v>
      </c>
      <c r="BO46" s="117" cm="1">
        <f t="array" ref="BO46">SUMPRODUCT(($B46=CapexCategory)*(BO$3=CapExSalvageMonth)*SalGain)</f>
        <v>0</v>
      </c>
      <c r="BP46" s="117" cm="1">
        <f t="array" ref="BP46">SUMPRODUCT(($B46=CapexCategory)*(BP$3=CapExSalvageMonth)*SalGain)</f>
        <v>0</v>
      </c>
      <c r="BQ46" s="117" cm="1">
        <f t="array" ref="BQ46">SUMPRODUCT(($B46=CapexCategory)*(BQ$3=CapExSalvageMonth)*SalGain)</f>
        <v>0</v>
      </c>
      <c r="BR46" s="243" cm="1">
        <f t="array" ref="BR46">SUMPRODUCT(($B46=CapexCategory)*(BR$3=CapExSalvageMonth)*SalGain)</f>
        <v>0</v>
      </c>
    </row>
    <row r="47" spans="1:70" hidden="1" x14ac:dyDescent="0.3">
      <c r="B47" s="161" t="s">
        <v>181</v>
      </c>
      <c r="C47" s="160"/>
      <c r="E47" s="295">
        <f t="shared" si="37"/>
        <v>0</v>
      </c>
      <c r="F47" s="295">
        <f t="shared" si="38"/>
        <v>0</v>
      </c>
      <c r="G47" s="295">
        <f t="shared" si="39"/>
        <v>0</v>
      </c>
      <c r="H47" s="295">
        <f t="shared" si="40"/>
        <v>5</v>
      </c>
      <c r="I47" s="295">
        <f t="shared" si="41"/>
        <v>0</v>
      </c>
      <c r="J47" s="238"/>
      <c r="K47" s="241" cm="1">
        <f t="array" ref="K47">SUMPRODUCT((K$3=CapExSalvageMonth)*SalGain)-SUM(K42:K46)</f>
        <v>0</v>
      </c>
      <c r="L47" s="241" cm="1">
        <f t="array" ref="L47">SUMPRODUCT((L$3=CapExSalvageMonth)*SalGain)-SUM(L42:L46)</f>
        <v>0</v>
      </c>
      <c r="M47" s="241" cm="1">
        <f t="array" ref="M47">SUMPRODUCT((M$3=CapExSalvageMonth)*SalGain)-SUM(M42:M46)</f>
        <v>0</v>
      </c>
      <c r="N47" s="241" cm="1">
        <f t="array" ref="N47">SUMPRODUCT((N$3=CapExSalvageMonth)*SalGain)-SUM(N42:N46)</f>
        <v>0</v>
      </c>
      <c r="O47" s="241" cm="1">
        <f t="array" ref="O47">SUMPRODUCT((O$3=CapExSalvageMonth)*SalGain)-SUM(O42:O46)</f>
        <v>0</v>
      </c>
      <c r="P47" s="241" cm="1">
        <f t="array" ref="P47">SUMPRODUCT((P$3=CapExSalvageMonth)*SalGain)-SUM(P42:P46)</f>
        <v>0</v>
      </c>
      <c r="Q47" s="241" cm="1">
        <f t="array" ref="Q47">SUMPRODUCT((Q$3=CapExSalvageMonth)*SalGain)-SUM(Q42:Q46)</f>
        <v>0</v>
      </c>
      <c r="R47" s="241" cm="1">
        <f t="array" ref="R47">SUMPRODUCT((R$3=CapExSalvageMonth)*SalGain)-SUM(R42:R46)</f>
        <v>0</v>
      </c>
      <c r="S47" s="241" cm="1">
        <f t="array" ref="S47">SUMPRODUCT((S$3=CapExSalvageMonth)*SalGain)-SUM(S42:S46)</f>
        <v>0</v>
      </c>
      <c r="T47" s="241" cm="1">
        <f t="array" ref="T47">SUMPRODUCT((T$3=CapExSalvageMonth)*SalGain)-SUM(T42:T46)</f>
        <v>0</v>
      </c>
      <c r="U47" s="241" cm="1">
        <f t="array" ref="U47">SUMPRODUCT((U$3=CapExSalvageMonth)*SalGain)-SUM(U42:U46)</f>
        <v>0</v>
      </c>
      <c r="V47" s="244" cm="1">
        <f t="array" ref="V47">SUMPRODUCT((V$3=CapExSalvageMonth)*SalGain)-SUM(V42:V46)</f>
        <v>0</v>
      </c>
      <c r="W47" s="241" cm="1">
        <f t="array" ref="W47">SUMPRODUCT((W$3=CapExSalvageMonth)*SalGain)-SUM(W42:W46)</f>
        <v>0</v>
      </c>
      <c r="X47" s="241" cm="1">
        <f t="array" ref="X47">SUMPRODUCT((X$3=CapExSalvageMonth)*SalGain)-SUM(X42:X46)</f>
        <v>0</v>
      </c>
      <c r="Y47" s="241" cm="1">
        <f t="array" ref="Y47">SUMPRODUCT((Y$3=CapExSalvageMonth)*SalGain)-SUM(Y42:Y46)</f>
        <v>0</v>
      </c>
      <c r="Z47" s="241" cm="1">
        <f t="array" ref="Z47">SUMPRODUCT((Z$3=CapExSalvageMonth)*SalGain)-SUM(Z42:Z46)</f>
        <v>0</v>
      </c>
      <c r="AA47" s="241" cm="1">
        <f t="array" ref="AA47">SUMPRODUCT((AA$3=CapExSalvageMonth)*SalGain)-SUM(AA42:AA46)</f>
        <v>0</v>
      </c>
      <c r="AB47" s="241" cm="1">
        <f t="array" ref="AB47">SUMPRODUCT((AB$3=CapExSalvageMonth)*SalGain)-SUM(AB42:AB46)</f>
        <v>0</v>
      </c>
      <c r="AC47" s="241" cm="1">
        <f t="array" ref="AC47">SUMPRODUCT((AC$3=CapExSalvageMonth)*SalGain)-SUM(AC42:AC46)</f>
        <v>0</v>
      </c>
      <c r="AD47" s="241" cm="1">
        <f t="array" ref="AD47">SUMPRODUCT((AD$3=CapExSalvageMonth)*SalGain)-SUM(AD42:AD46)</f>
        <v>0</v>
      </c>
      <c r="AE47" s="241" cm="1">
        <f t="array" ref="AE47">SUMPRODUCT((AE$3=CapExSalvageMonth)*SalGain)-SUM(AE42:AE46)</f>
        <v>0</v>
      </c>
      <c r="AF47" s="241" cm="1">
        <f t="array" ref="AF47">SUMPRODUCT((AF$3=CapExSalvageMonth)*SalGain)-SUM(AF42:AF46)</f>
        <v>0</v>
      </c>
      <c r="AG47" s="241" cm="1">
        <f t="array" ref="AG47">SUMPRODUCT((AG$3=CapExSalvageMonth)*SalGain)-SUM(AG42:AG46)</f>
        <v>0</v>
      </c>
      <c r="AH47" s="244" cm="1">
        <f t="array" ref="AH47">SUMPRODUCT((AH$3=CapExSalvageMonth)*SalGain)-SUM(AH42:AH46)</f>
        <v>0</v>
      </c>
      <c r="AI47" s="241" cm="1">
        <f t="array" ref="AI47">SUMPRODUCT((AI$3=CapExSalvageMonth)*SalGain)-SUM(AI42:AI46)</f>
        <v>0</v>
      </c>
      <c r="AJ47" s="241" cm="1">
        <f t="array" ref="AJ47">SUMPRODUCT((AJ$3=CapExSalvageMonth)*SalGain)-SUM(AJ42:AJ46)</f>
        <v>0</v>
      </c>
      <c r="AK47" s="241" cm="1">
        <f t="array" ref="AK47">SUMPRODUCT((AK$3=CapExSalvageMonth)*SalGain)-SUM(AK42:AK46)</f>
        <v>0</v>
      </c>
      <c r="AL47" s="241" cm="1">
        <f t="array" ref="AL47">SUMPRODUCT((AL$3=CapExSalvageMonth)*SalGain)-SUM(AL42:AL46)</f>
        <v>0</v>
      </c>
      <c r="AM47" s="241" cm="1">
        <f t="array" ref="AM47">SUMPRODUCT((AM$3=CapExSalvageMonth)*SalGain)-SUM(AM42:AM46)</f>
        <v>0</v>
      </c>
      <c r="AN47" s="241" cm="1">
        <f t="array" ref="AN47">SUMPRODUCT((AN$3=CapExSalvageMonth)*SalGain)-SUM(AN42:AN46)</f>
        <v>0</v>
      </c>
      <c r="AO47" s="241" cm="1">
        <f t="array" ref="AO47">SUMPRODUCT((AO$3=CapExSalvageMonth)*SalGain)-SUM(AO42:AO46)</f>
        <v>0</v>
      </c>
      <c r="AP47" s="241" cm="1">
        <f t="array" ref="AP47">SUMPRODUCT((AP$3=CapExSalvageMonth)*SalGain)-SUM(AP42:AP46)</f>
        <v>0</v>
      </c>
      <c r="AQ47" s="241" cm="1">
        <f t="array" ref="AQ47">SUMPRODUCT((AQ$3=CapExSalvageMonth)*SalGain)-SUM(AQ42:AQ46)</f>
        <v>0</v>
      </c>
      <c r="AR47" s="241" cm="1">
        <f t="array" ref="AR47">SUMPRODUCT((AR$3=CapExSalvageMonth)*SalGain)-SUM(AR42:AR46)</f>
        <v>0</v>
      </c>
      <c r="AS47" s="241" cm="1">
        <f t="array" ref="AS47">SUMPRODUCT((AS$3=CapExSalvageMonth)*SalGain)-SUM(AS42:AS46)</f>
        <v>0</v>
      </c>
      <c r="AT47" s="244" cm="1">
        <f t="array" ref="AT47">SUMPRODUCT((AT$3=CapExSalvageMonth)*SalGain)-SUM(AT42:AT46)</f>
        <v>0</v>
      </c>
      <c r="AU47" s="241" cm="1">
        <f t="array" ref="AU47">SUMPRODUCT((AU$3=CapExSalvageMonth)*SalGain)-SUM(AU42:AU46)</f>
        <v>0</v>
      </c>
      <c r="AV47" s="241" cm="1">
        <f t="array" ref="AV47">SUMPRODUCT((AV$3=CapExSalvageMonth)*SalGain)-SUM(AV42:AV46)</f>
        <v>0</v>
      </c>
      <c r="AW47" s="241" cm="1">
        <f t="array" ref="AW47">SUMPRODUCT((AW$3=CapExSalvageMonth)*SalGain)-SUM(AW42:AW46)</f>
        <v>0</v>
      </c>
      <c r="AX47" s="241" cm="1">
        <f t="array" ref="AX47">SUMPRODUCT((AX$3=CapExSalvageMonth)*SalGain)-SUM(AX42:AX46)</f>
        <v>5</v>
      </c>
      <c r="AY47" s="241" cm="1">
        <f t="array" ref="AY47">SUMPRODUCT((AY$3=CapExSalvageMonth)*SalGain)-SUM(AY42:AY46)</f>
        <v>0</v>
      </c>
      <c r="AZ47" s="241" cm="1">
        <f t="array" ref="AZ47">SUMPRODUCT((AZ$3=CapExSalvageMonth)*SalGain)-SUM(AZ42:AZ46)</f>
        <v>0</v>
      </c>
      <c r="BA47" s="241" cm="1">
        <f t="array" ref="BA47">SUMPRODUCT((BA$3=CapExSalvageMonth)*SalGain)-SUM(BA42:BA46)</f>
        <v>0</v>
      </c>
      <c r="BB47" s="241" cm="1">
        <f t="array" ref="BB47">SUMPRODUCT((BB$3=CapExSalvageMonth)*SalGain)-SUM(BB42:BB46)</f>
        <v>0</v>
      </c>
      <c r="BC47" s="241" cm="1">
        <f t="array" ref="BC47">SUMPRODUCT((BC$3=CapExSalvageMonth)*SalGain)-SUM(BC42:BC46)</f>
        <v>0</v>
      </c>
      <c r="BD47" s="241" cm="1">
        <f t="array" ref="BD47">SUMPRODUCT((BD$3=CapExSalvageMonth)*SalGain)-SUM(BD42:BD46)</f>
        <v>0</v>
      </c>
      <c r="BE47" s="241" cm="1">
        <f t="array" ref="BE47">SUMPRODUCT((BE$3=CapExSalvageMonth)*SalGain)-SUM(BE42:BE46)</f>
        <v>0</v>
      </c>
      <c r="BF47" s="244" cm="1">
        <f t="array" ref="BF47">SUMPRODUCT((BF$3=CapExSalvageMonth)*SalGain)-SUM(BF42:BF46)</f>
        <v>0</v>
      </c>
      <c r="BG47" s="241" cm="1">
        <f t="array" ref="BG47">SUMPRODUCT((BG$3=CapExSalvageMonth)*SalGain)-SUM(BG42:BG46)</f>
        <v>0</v>
      </c>
      <c r="BH47" s="241" cm="1">
        <f t="array" ref="BH47">SUMPRODUCT((BH$3=CapExSalvageMonth)*SalGain)-SUM(BH42:BH46)</f>
        <v>0</v>
      </c>
      <c r="BI47" s="241" cm="1">
        <f t="array" ref="BI47">SUMPRODUCT((BI$3=CapExSalvageMonth)*SalGain)-SUM(BI42:BI46)</f>
        <v>0</v>
      </c>
      <c r="BJ47" s="241" cm="1">
        <f t="array" ref="BJ47">SUMPRODUCT((BJ$3=CapExSalvageMonth)*SalGain)-SUM(BJ42:BJ46)</f>
        <v>0</v>
      </c>
      <c r="BK47" s="241" cm="1">
        <f t="array" ref="BK47">SUMPRODUCT((BK$3=CapExSalvageMonth)*SalGain)-SUM(BK42:BK46)</f>
        <v>0</v>
      </c>
      <c r="BL47" s="241" cm="1">
        <f t="array" ref="BL47">SUMPRODUCT((BL$3=CapExSalvageMonth)*SalGain)-SUM(BL42:BL46)</f>
        <v>0</v>
      </c>
      <c r="BM47" s="241" cm="1">
        <f t="array" ref="BM47">SUMPRODUCT((BM$3=CapExSalvageMonth)*SalGain)-SUM(BM42:BM46)</f>
        <v>0</v>
      </c>
      <c r="BN47" s="241" cm="1">
        <f t="array" ref="BN47">SUMPRODUCT((BN$3=CapExSalvageMonth)*SalGain)-SUM(BN42:BN46)</f>
        <v>0</v>
      </c>
      <c r="BO47" s="241" cm="1">
        <f t="array" ref="BO47">SUMPRODUCT((BO$3=CapExSalvageMonth)*SalGain)-SUM(BO42:BO46)</f>
        <v>0</v>
      </c>
      <c r="BP47" s="241" cm="1">
        <f t="array" ref="BP47">SUMPRODUCT((BP$3=CapExSalvageMonth)*SalGain)-SUM(BP42:BP46)</f>
        <v>0</v>
      </c>
      <c r="BQ47" s="241" cm="1">
        <f t="array" ref="BQ47">SUMPRODUCT((BQ$3=CapExSalvageMonth)*SalGain)-SUM(BQ42:BQ46)</f>
        <v>0</v>
      </c>
      <c r="BR47" s="244" cm="1">
        <f t="array" ref="BR47">SUMPRODUCT((BR$3=CapExSalvageMonth)*SalGain)-SUM(BR42:BR46)</f>
        <v>0</v>
      </c>
    </row>
    <row r="48" spans="1:70" s="324" customFormat="1" ht="15.6" x14ac:dyDescent="0.3">
      <c r="A48" s="292"/>
      <c r="B48" s="290" t="s">
        <v>183</v>
      </c>
      <c r="C48" s="287"/>
      <c r="D48" s="291"/>
      <c r="E48" s="296">
        <f>SUM(K48:V48)</f>
        <v>-32</v>
      </c>
      <c r="F48" s="296">
        <f>SUM(W48:AH48)</f>
        <v>82.407407407407419</v>
      </c>
      <c r="G48" s="296">
        <f>SUM(AI48:AT48)</f>
        <v>0</v>
      </c>
      <c r="H48" s="296">
        <f>SUM(AU48:BF48)</f>
        <v>5</v>
      </c>
      <c r="I48" s="296">
        <f>SUM(BG48:BR48)</f>
        <v>15</v>
      </c>
      <c r="J48" s="288"/>
      <c r="K48" s="288">
        <f t="shared" ref="K48:AP48" si="42">SUM(K42:K47)</f>
        <v>0</v>
      </c>
      <c r="L48" s="288">
        <f t="shared" si="42"/>
        <v>0</v>
      </c>
      <c r="M48" s="288">
        <f t="shared" si="42"/>
        <v>0</v>
      </c>
      <c r="N48" s="288">
        <f t="shared" si="42"/>
        <v>0</v>
      </c>
      <c r="O48" s="288">
        <f t="shared" si="42"/>
        <v>0</v>
      </c>
      <c r="P48" s="288">
        <f t="shared" si="42"/>
        <v>0</v>
      </c>
      <c r="Q48" s="288">
        <f t="shared" si="42"/>
        <v>0</v>
      </c>
      <c r="R48" s="288">
        <f t="shared" si="42"/>
        <v>0</v>
      </c>
      <c r="S48" s="288">
        <f t="shared" si="42"/>
        <v>0</v>
      </c>
      <c r="T48" s="288">
        <f t="shared" si="42"/>
        <v>0</v>
      </c>
      <c r="U48" s="288">
        <f t="shared" si="42"/>
        <v>0</v>
      </c>
      <c r="V48" s="289">
        <f t="shared" si="42"/>
        <v>-32</v>
      </c>
      <c r="W48" s="288">
        <f t="shared" si="42"/>
        <v>0</v>
      </c>
      <c r="X48" s="288">
        <f t="shared" si="42"/>
        <v>0</v>
      </c>
      <c r="Y48" s="288">
        <f t="shared" si="42"/>
        <v>0</v>
      </c>
      <c r="Z48" s="288">
        <f t="shared" si="42"/>
        <v>0</v>
      </c>
      <c r="AA48" s="288">
        <f t="shared" si="42"/>
        <v>0</v>
      </c>
      <c r="AB48" s="288">
        <f t="shared" si="42"/>
        <v>0</v>
      </c>
      <c r="AC48" s="288">
        <f t="shared" si="42"/>
        <v>0</v>
      </c>
      <c r="AD48" s="288">
        <f t="shared" si="42"/>
        <v>82.407407407407419</v>
      </c>
      <c r="AE48" s="288">
        <f t="shared" si="42"/>
        <v>0</v>
      </c>
      <c r="AF48" s="288">
        <f t="shared" si="42"/>
        <v>0</v>
      </c>
      <c r="AG48" s="288">
        <f t="shared" si="42"/>
        <v>0</v>
      </c>
      <c r="AH48" s="289">
        <f t="shared" si="42"/>
        <v>0</v>
      </c>
      <c r="AI48" s="288">
        <f t="shared" si="42"/>
        <v>0</v>
      </c>
      <c r="AJ48" s="288">
        <f t="shared" si="42"/>
        <v>0</v>
      </c>
      <c r="AK48" s="288">
        <f t="shared" si="42"/>
        <v>0</v>
      </c>
      <c r="AL48" s="288">
        <f t="shared" si="42"/>
        <v>0</v>
      </c>
      <c r="AM48" s="288">
        <f t="shared" si="42"/>
        <v>0</v>
      </c>
      <c r="AN48" s="288">
        <f t="shared" si="42"/>
        <v>0</v>
      </c>
      <c r="AO48" s="288">
        <f t="shared" si="42"/>
        <v>0</v>
      </c>
      <c r="AP48" s="288">
        <f t="shared" si="42"/>
        <v>0</v>
      </c>
      <c r="AQ48" s="288">
        <f t="shared" ref="AQ48:BR48" si="43">SUM(AQ42:AQ47)</f>
        <v>0</v>
      </c>
      <c r="AR48" s="288">
        <f t="shared" si="43"/>
        <v>0</v>
      </c>
      <c r="AS48" s="288">
        <f t="shared" si="43"/>
        <v>0</v>
      </c>
      <c r="AT48" s="289">
        <f t="shared" si="43"/>
        <v>0</v>
      </c>
      <c r="AU48" s="288">
        <f t="shared" si="43"/>
        <v>0</v>
      </c>
      <c r="AV48" s="288">
        <f t="shared" si="43"/>
        <v>0</v>
      </c>
      <c r="AW48" s="288">
        <f t="shared" si="43"/>
        <v>0</v>
      </c>
      <c r="AX48" s="288">
        <f t="shared" si="43"/>
        <v>5</v>
      </c>
      <c r="AY48" s="288">
        <f t="shared" si="43"/>
        <v>0</v>
      </c>
      <c r="AZ48" s="288">
        <f t="shared" si="43"/>
        <v>0</v>
      </c>
      <c r="BA48" s="288">
        <f t="shared" si="43"/>
        <v>0</v>
      </c>
      <c r="BB48" s="288">
        <f t="shared" si="43"/>
        <v>0</v>
      </c>
      <c r="BC48" s="288">
        <f t="shared" si="43"/>
        <v>0</v>
      </c>
      <c r="BD48" s="288">
        <f t="shared" si="43"/>
        <v>0</v>
      </c>
      <c r="BE48" s="288">
        <f t="shared" si="43"/>
        <v>0</v>
      </c>
      <c r="BF48" s="289">
        <f t="shared" si="43"/>
        <v>0</v>
      </c>
      <c r="BG48" s="288">
        <f t="shared" si="43"/>
        <v>0</v>
      </c>
      <c r="BH48" s="288">
        <f t="shared" si="43"/>
        <v>0</v>
      </c>
      <c r="BI48" s="288">
        <f t="shared" si="43"/>
        <v>0</v>
      </c>
      <c r="BJ48" s="288">
        <f t="shared" si="43"/>
        <v>0</v>
      </c>
      <c r="BK48" s="288">
        <f t="shared" si="43"/>
        <v>0</v>
      </c>
      <c r="BL48" s="288">
        <f t="shared" si="43"/>
        <v>0</v>
      </c>
      <c r="BM48" s="288">
        <f t="shared" si="43"/>
        <v>15</v>
      </c>
      <c r="BN48" s="288">
        <f t="shared" si="43"/>
        <v>0</v>
      </c>
      <c r="BO48" s="288">
        <f t="shared" si="43"/>
        <v>0</v>
      </c>
      <c r="BP48" s="288">
        <f t="shared" si="43"/>
        <v>0</v>
      </c>
      <c r="BQ48" s="288">
        <f t="shared" si="43"/>
        <v>0</v>
      </c>
      <c r="BR48" s="289">
        <f t="shared" si="43"/>
        <v>0</v>
      </c>
    </row>
    <row r="49" spans="5:70" ht="15.6" x14ac:dyDescent="0.35">
      <c r="E49" s="321"/>
      <c r="F49" s="321"/>
      <c r="G49" s="321"/>
      <c r="H49" s="321"/>
      <c r="I49" s="321"/>
      <c r="J49" s="321"/>
      <c r="K49" s="321"/>
      <c r="L49" s="321"/>
      <c r="M49" s="321"/>
      <c r="N49" s="321"/>
      <c r="O49" s="321"/>
      <c r="P49" s="321"/>
      <c r="Q49" s="321"/>
      <c r="R49" s="321"/>
      <c r="S49" s="321"/>
      <c r="T49" s="321"/>
      <c r="U49" s="321"/>
      <c r="V49" s="321"/>
      <c r="W49" s="321"/>
      <c r="X49" s="321"/>
      <c r="Y49" s="321"/>
      <c r="Z49" s="321"/>
      <c r="AA49" s="321"/>
      <c r="AB49" s="321"/>
      <c r="AC49" s="321"/>
      <c r="AD49" s="321"/>
      <c r="AE49" s="321"/>
      <c r="AF49" s="321"/>
      <c r="AG49" s="321"/>
      <c r="AH49" s="321"/>
      <c r="AI49" s="321"/>
      <c r="AJ49" s="321"/>
      <c r="AK49" s="321"/>
      <c r="AL49" s="321"/>
      <c r="AM49" s="321"/>
      <c r="AN49" s="321"/>
      <c r="AO49" s="321"/>
      <c r="AP49" s="321"/>
      <c r="AQ49" s="321"/>
      <c r="AR49" s="321"/>
      <c r="AS49" s="321"/>
      <c r="AT49" s="321"/>
      <c r="AU49" s="321"/>
      <c r="AV49" s="321"/>
      <c r="AW49" s="321"/>
      <c r="AX49" s="321"/>
      <c r="AY49" s="321"/>
      <c r="AZ49" s="321"/>
      <c r="BA49" s="321"/>
      <c r="BB49" s="321"/>
      <c r="BC49" s="321"/>
      <c r="BD49" s="321"/>
      <c r="BE49" s="321"/>
      <c r="BF49" s="321"/>
      <c r="BG49" s="321"/>
      <c r="BH49" s="321"/>
      <c r="BI49" s="321"/>
      <c r="BJ49" s="321"/>
      <c r="BK49" s="321"/>
      <c r="BL49" s="321"/>
      <c r="BM49" s="321"/>
      <c r="BN49" s="321"/>
      <c r="BO49" s="321"/>
      <c r="BP49" s="321"/>
      <c r="BQ49" s="321"/>
      <c r="BR49" s="321"/>
    </row>
    <row r="50" spans="5:70" ht="15.6" x14ac:dyDescent="0.35">
      <c r="E50" s="321"/>
      <c r="F50" s="321"/>
      <c r="G50" s="321"/>
      <c r="H50" s="321"/>
      <c r="I50" s="321"/>
      <c r="J50" s="321"/>
      <c r="K50" s="321"/>
      <c r="L50" s="321"/>
      <c r="M50" s="321"/>
      <c r="N50" s="321"/>
      <c r="O50" s="321"/>
      <c r="P50" s="321"/>
      <c r="Q50" s="321"/>
      <c r="R50" s="321"/>
      <c r="S50" s="321"/>
      <c r="T50" s="321"/>
      <c r="U50" s="321"/>
      <c r="V50" s="321"/>
      <c r="W50" s="321"/>
      <c r="X50" s="321"/>
      <c r="Y50" s="321"/>
      <c r="Z50" s="321"/>
      <c r="AA50" s="321"/>
      <c r="AB50" s="321"/>
      <c r="AC50" s="321"/>
      <c r="AD50" s="321"/>
      <c r="AE50" s="321"/>
      <c r="AF50" s="321"/>
      <c r="AG50" s="321"/>
      <c r="AH50" s="321"/>
      <c r="AI50" s="321"/>
      <c r="AJ50" s="321"/>
      <c r="AK50" s="321"/>
      <c r="AL50" s="321"/>
      <c r="AM50" s="321"/>
      <c r="AN50" s="321"/>
      <c r="AO50" s="321"/>
      <c r="AP50" s="321"/>
      <c r="AQ50" s="321"/>
      <c r="AR50" s="321"/>
      <c r="AS50" s="321"/>
      <c r="AT50" s="321"/>
      <c r="AU50" s="321"/>
      <c r="AV50" s="321"/>
      <c r="AW50" s="321"/>
      <c r="AX50" s="321"/>
      <c r="AY50" s="321"/>
      <c r="AZ50" s="321"/>
      <c r="BA50" s="321"/>
      <c r="BB50" s="321"/>
      <c r="BC50" s="321"/>
      <c r="BD50" s="321"/>
      <c r="BE50" s="321"/>
      <c r="BF50" s="321"/>
      <c r="BG50" s="321"/>
      <c r="BH50" s="321"/>
      <c r="BI50" s="321"/>
      <c r="BJ50" s="321"/>
      <c r="BK50" s="321"/>
      <c r="BL50" s="321"/>
      <c r="BM50" s="321"/>
      <c r="BN50" s="321"/>
      <c r="BO50" s="321"/>
      <c r="BP50" s="321"/>
      <c r="BQ50" s="321"/>
      <c r="BR50" s="321"/>
    </row>
    <row r="51" spans="5:70" ht="15.6" x14ac:dyDescent="0.35">
      <c r="E51" s="321"/>
      <c r="F51" s="321"/>
      <c r="G51" s="321"/>
      <c r="H51" s="321"/>
      <c r="I51" s="321"/>
      <c r="J51" s="321"/>
      <c r="K51" s="321"/>
      <c r="L51" s="321"/>
      <c r="M51" s="321"/>
      <c r="N51" s="321"/>
      <c r="O51" s="321"/>
      <c r="P51" s="321"/>
      <c r="Q51" s="321"/>
      <c r="R51" s="321"/>
      <c r="S51" s="321"/>
      <c r="T51" s="321"/>
      <c r="U51" s="321"/>
      <c r="V51" s="321"/>
      <c r="W51" s="321"/>
      <c r="X51" s="321"/>
      <c r="Y51" s="321"/>
      <c r="Z51" s="321"/>
      <c r="AA51" s="321"/>
      <c r="AB51" s="321"/>
      <c r="AC51" s="321"/>
      <c r="AD51" s="321"/>
      <c r="AE51" s="321"/>
      <c r="AF51" s="321"/>
      <c r="AG51" s="321"/>
      <c r="AH51" s="321"/>
      <c r="AI51" s="321"/>
      <c r="AJ51" s="321"/>
      <c r="AK51" s="321"/>
      <c r="AL51" s="321"/>
      <c r="AM51" s="321"/>
      <c r="AN51" s="321"/>
      <c r="AO51" s="321"/>
      <c r="AP51" s="321"/>
      <c r="AQ51" s="321"/>
      <c r="AR51" s="321"/>
      <c r="AS51" s="321"/>
      <c r="AT51" s="321"/>
      <c r="AU51" s="321"/>
      <c r="AV51" s="321"/>
      <c r="AW51" s="321"/>
      <c r="AX51" s="321"/>
      <c r="AY51" s="321"/>
      <c r="AZ51" s="321"/>
      <c r="BA51" s="321"/>
      <c r="BB51" s="321"/>
      <c r="BC51" s="321"/>
      <c r="BD51" s="321"/>
      <c r="BE51" s="321"/>
      <c r="BF51" s="321"/>
      <c r="BG51" s="321"/>
      <c r="BH51" s="321"/>
      <c r="BI51" s="321"/>
      <c r="BJ51" s="321"/>
      <c r="BK51" s="321"/>
      <c r="BL51" s="321"/>
      <c r="BM51" s="321"/>
      <c r="BN51" s="321"/>
      <c r="BO51" s="321"/>
      <c r="BP51" s="321"/>
      <c r="BQ51" s="321"/>
      <c r="BR51" s="321"/>
    </row>
    <row r="52" spans="5:70" ht="15.6" x14ac:dyDescent="0.35">
      <c r="E52" s="321"/>
      <c r="F52" s="321"/>
      <c r="G52" s="321"/>
      <c r="H52" s="321"/>
      <c r="I52" s="321"/>
      <c r="J52" s="321"/>
      <c r="K52" s="321"/>
      <c r="L52" s="321"/>
      <c r="M52" s="321"/>
      <c r="N52" s="321"/>
      <c r="O52" s="321"/>
      <c r="P52" s="321"/>
      <c r="Q52" s="321"/>
      <c r="R52" s="321"/>
      <c r="S52" s="321"/>
      <c r="T52" s="321"/>
      <c r="U52" s="321"/>
      <c r="V52" s="321"/>
      <c r="W52" s="321"/>
      <c r="X52" s="321"/>
      <c r="Y52" s="321"/>
      <c r="Z52" s="321"/>
      <c r="AA52" s="321"/>
      <c r="AB52" s="321"/>
      <c r="AC52" s="321"/>
      <c r="AD52" s="321"/>
      <c r="AE52" s="321"/>
      <c r="AF52" s="321"/>
      <c r="AG52" s="321"/>
      <c r="AH52" s="321"/>
      <c r="AI52" s="321"/>
      <c r="AJ52" s="321"/>
      <c r="AK52" s="321"/>
      <c r="AL52" s="321"/>
      <c r="AM52" s="321"/>
      <c r="AN52" s="321"/>
      <c r="AO52" s="321"/>
      <c r="AP52" s="321"/>
      <c r="AQ52" s="321"/>
      <c r="AR52" s="321"/>
      <c r="AS52" s="321"/>
      <c r="AT52" s="321"/>
      <c r="AU52" s="321"/>
      <c r="AV52" s="321"/>
      <c r="AW52" s="321"/>
      <c r="AX52" s="321"/>
      <c r="AY52" s="321"/>
      <c r="AZ52" s="321"/>
      <c r="BA52" s="321"/>
      <c r="BB52" s="321"/>
      <c r="BC52" s="321"/>
      <c r="BD52" s="321"/>
      <c r="BE52" s="321"/>
      <c r="BF52" s="321"/>
      <c r="BG52" s="321"/>
      <c r="BH52" s="321"/>
      <c r="BI52" s="321"/>
      <c r="BJ52" s="321"/>
      <c r="BK52" s="321"/>
      <c r="BL52" s="321"/>
      <c r="BM52" s="321"/>
      <c r="BN52" s="321"/>
      <c r="BO52" s="321"/>
      <c r="BP52" s="321"/>
      <c r="BQ52" s="321"/>
      <c r="BR52" s="321"/>
    </row>
    <row r="53" spans="5:70" ht="15.6" x14ac:dyDescent="0.35">
      <c r="E53" s="321"/>
      <c r="F53" s="321"/>
      <c r="G53" s="321"/>
      <c r="H53" s="321"/>
      <c r="I53" s="321"/>
      <c r="J53" s="321"/>
      <c r="K53" s="321"/>
      <c r="L53" s="321"/>
      <c r="M53" s="321"/>
      <c r="N53" s="321"/>
      <c r="O53" s="321"/>
      <c r="P53" s="321"/>
      <c r="Q53" s="321"/>
      <c r="R53" s="321"/>
      <c r="S53" s="321"/>
      <c r="T53" s="321"/>
      <c r="U53" s="321"/>
      <c r="V53" s="321"/>
      <c r="W53" s="321"/>
      <c r="X53" s="321"/>
      <c r="Y53" s="321"/>
      <c r="Z53" s="321"/>
      <c r="AA53" s="321"/>
      <c r="AB53" s="321"/>
      <c r="AC53" s="321"/>
      <c r="AD53" s="321"/>
      <c r="AE53" s="321"/>
      <c r="AF53" s="321"/>
      <c r="AG53" s="321"/>
      <c r="AH53" s="321"/>
      <c r="AI53" s="321"/>
      <c r="AJ53" s="321"/>
      <c r="AK53" s="321"/>
      <c r="AL53" s="321"/>
      <c r="AM53" s="321"/>
      <c r="AN53" s="321"/>
      <c r="AO53" s="321"/>
      <c r="AP53" s="321"/>
      <c r="AQ53" s="321"/>
      <c r="AR53" s="321"/>
      <c r="AS53" s="321"/>
      <c r="AT53" s="321"/>
      <c r="AU53" s="321"/>
      <c r="AV53" s="321"/>
      <c r="AW53" s="321"/>
      <c r="AX53" s="321"/>
      <c r="AY53" s="321"/>
      <c r="AZ53" s="321"/>
      <c r="BA53" s="321"/>
      <c r="BB53" s="321"/>
      <c r="BC53" s="321"/>
      <c r="BD53" s="321"/>
      <c r="BE53" s="321"/>
      <c r="BF53" s="321"/>
      <c r="BG53" s="321"/>
      <c r="BH53" s="321"/>
      <c r="BI53" s="321"/>
      <c r="BJ53" s="321"/>
      <c r="BK53" s="321"/>
      <c r="BL53" s="321"/>
      <c r="BM53" s="321"/>
      <c r="BN53" s="321"/>
      <c r="BO53" s="321"/>
      <c r="BP53" s="321"/>
      <c r="BQ53" s="321"/>
      <c r="BR53" s="321"/>
    </row>
    <row r="54" spans="5:70" ht="15.6" x14ac:dyDescent="0.35">
      <c r="E54" s="321"/>
      <c r="F54" s="321"/>
      <c r="G54" s="321"/>
      <c r="H54" s="321"/>
      <c r="I54" s="321"/>
      <c r="J54" s="321"/>
      <c r="K54" s="321"/>
      <c r="L54" s="321"/>
      <c r="M54" s="321"/>
      <c r="N54" s="321"/>
      <c r="O54" s="321"/>
      <c r="P54" s="321"/>
      <c r="Q54" s="321"/>
      <c r="R54" s="321"/>
      <c r="S54" s="321"/>
      <c r="T54" s="321"/>
      <c r="U54" s="321"/>
      <c r="V54" s="321"/>
      <c r="W54" s="321"/>
      <c r="X54" s="321"/>
      <c r="Y54" s="321"/>
      <c r="Z54" s="321"/>
      <c r="AA54" s="321"/>
      <c r="AB54" s="321"/>
      <c r="AC54" s="321"/>
      <c r="AD54" s="321"/>
      <c r="AE54" s="321"/>
      <c r="AF54" s="321"/>
      <c r="AG54" s="321"/>
      <c r="AH54" s="321"/>
      <c r="AI54" s="321"/>
      <c r="AJ54" s="321"/>
      <c r="AK54" s="321"/>
      <c r="AL54" s="321"/>
      <c r="AM54" s="321"/>
      <c r="AN54" s="321"/>
      <c r="AO54" s="321"/>
      <c r="AP54" s="321"/>
      <c r="AQ54" s="321"/>
      <c r="AR54" s="321"/>
      <c r="AS54" s="321"/>
      <c r="AT54" s="321"/>
      <c r="AU54" s="321"/>
      <c r="AV54" s="321"/>
      <c r="AW54" s="321"/>
      <c r="AX54" s="321"/>
      <c r="AY54" s="321"/>
      <c r="AZ54" s="321"/>
      <c r="BA54" s="321"/>
      <c r="BB54" s="321"/>
      <c r="BC54" s="321"/>
      <c r="BD54" s="321"/>
      <c r="BE54" s="321"/>
      <c r="BF54" s="321"/>
      <c r="BG54" s="321"/>
      <c r="BH54" s="321"/>
      <c r="BI54" s="321"/>
      <c r="BJ54" s="321"/>
      <c r="BK54" s="321"/>
      <c r="BL54" s="321"/>
      <c r="BM54" s="321"/>
      <c r="BN54" s="321"/>
      <c r="BO54" s="321"/>
      <c r="BP54" s="321"/>
      <c r="BQ54" s="321"/>
      <c r="BR54" s="321"/>
    </row>
    <row r="55" spans="5:70" ht="15.6" x14ac:dyDescent="0.35">
      <c r="E55" s="321"/>
      <c r="F55" s="321"/>
      <c r="G55" s="321"/>
      <c r="H55" s="321"/>
      <c r="I55" s="321"/>
      <c r="J55" s="321"/>
      <c r="K55" s="321"/>
      <c r="L55" s="321"/>
      <c r="M55" s="321"/>
      <c r="N55" s="321"/>
      <c r="O55" s="321"/>
      <c r="P55" s="321"/>
      <c r="Q55" s="321"/>
      <c r="R55" s="321"/>
      <c r="S55" s="321"/>
      <c r="T55" s="321"/>
      <c r="U55" s="321"/>
      <c r="V55" s="321"/>
      <c r="W55" s="321"/>
      <c r="X55" s="321"/>
      <c r="Y55" s="321"/>
      <c r="Z55" s="321"/>
      <c r="AA55" s="321"/>
      <c r="AB55" s="321"/>
      <c r="AC55" s="321"/>
      <c r="AD55" s="321"/>
      <c r="AE55" s="321"/>
      <c r="AF55" s="321"/>
      <c r="AG55" s="321"/>
      <c r="AH55" s="321"/>
      <c r="AI55" s="321"/>
      <c r="AJ55" s="321"/>
      <c r="AK55" s="321"/>
      <c r="AL55" s="321"/>
      <c r="AM55" s="321"/>
      <c r="AN55" s="321"/>
      <c r="AO55" s="321"/>
      <c r="AP55" s="321"/>
      <c r="AQ55" s="321"/>
      <c r="AR55" s="321"/>
      <c r="AS55" s="321"/>
      <c r="AT55" s="321"/>
      <c r="AU55" s="321"/>
      <c r="AV55" s="321"/>
      <c r="AW55" s="321"/>
      <c r="AX55" s="321"/>
      <c r="AY55" s="321"/>
      <c r="AZ55" s="321"/>
      <c r="BA55" s="321"/>
      <c r="BB55" s="321"/>
      <c r="BC55" s="321"/>
      <c r="BD55" s="321"/>
      <c r="BE55" s="321"/>
      <c r="BF55" s="321"/>
      <c r="BG55" s="321"/>
      <c r="BH55" s="321"/>
      <c r="BI55" s="321"/>
      <c r="BJ55" s="321"/>
      <c r="BK55" s="321"/>
      <c r="BL55" s="321"/>
      <c r="BM55" s="321"/>
      <c r="BN55" s="321"/>
      <c r="BO55" s="321"/>
      <c r="BP55" s="321"/>
      <c r="BQ55" s="321"/>
      <c r="BR55" s="321"/>
    </row>
    <row r="56" spans="5:70" ht="6" customHeight="1" x14ac:dyDescent="0.3"/>
  </sheetData>
  <sheetProtection algorithmName="SHA-512" hashValue="KCakiTFXYKovYtV1QrL42yw3UwBDIpFcWMuxKybI45u5SMkNFhj5KGNJOg1UeI0Gs8teWMeZ7RRmVZ8cannI9g==" saltValue="ad3LxVYN+hJtGLACjzUslA==" spinCount="100000" sheet="1" objects="1" scenarios="1" selectLockedCells="1" selectUnlockedCells="1"/>
  <printOptions horizontalCentered="1"/>
  <pageMargins left="0.5" right="0.5" top="0.75" bottom="0.5" header="0.3" footer="0.3"/>
  <pageSetup fitToWidth="5" orientation="landscape" r:id="rId1"/>
  <headerFooter scaleWithDoc="0" alignWithMargins="0">
    <oddFooter>&amp;L&amp;10Capital Expense p.&amp;P of &amp;N&amp;R&amp;10Updated &amp;D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14182-892F-453F-8010-153DE8B11C2E}">
  <sheetPr>
    <tabColor rgb="FFBDD7EE"/>
    <pageSetUpPr fitToPage="1"/>
  </sheetPr>
  <dimension ref="A1:BR33"/>
  <sheetViews>
    <sheetView showGridLines="0" showRowColHeaders="0" showZeros="0" zoomScaleNormal="100" zoomScaleSheetLayoutView="100" workbookViewId="0">
      <pane xSplit="3" ySplit="3" topLeftCell="D4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ColWidth="8.88671875" defaultRowHeight="13.2" x14ac:dyDescent="0.3"/>
  <cols>
    <col min="1" max="1" width="3" style="109" customWidth="1"/>
    <col min="2" max="2" width="21.6640625" style="116" customWidth="1"/>
    <col min="3" max="4" width="0.6640625" style="117" customWidth="1"/>
    <col min="5" max="9" width="8.33203125" style="117" customWidth="1"/>
    <col min="10" max="10" width="2.21875" style="117" customWidth="1"/>
    <col min="11" max="70" width="8.33203125" style="117" customWidth="1"/>
    <col min="71" max="16384" width="8.88671875" style="117"/>
  </cols>
  <sheetData>
    <row r="1" spans="1:70" s="109" customFormat="1" ht="10.199999999999999" x14ac:dyDescent="0.2">
      <c r="A1" s="1" t="s">
        <v>0</v>
      </c>
      <c r="B1" s="108"/>
    </row>
    <row r="2" spans="1:70" ht="22.8" customHeight="1" x14ac:dyDescent="0.3">
      <c r="B2" s="4"/>
    </row>
    <row r="3" spans="1:70" s="111" customFormat="1" ht="21" x14ac:dyDescent="0.4">
      <c r="B3" s="110" t="s">
        <v>98</v>
      </c>
      <c r="C3" s="186"/>
      <c r="D3" s="186"/>
      <c r="E3" s="165">
        <v>1</v>
      </c>
      <c r="F3" s="165">
        <v>2</v>
      </c>
      <c r="G3" s="165">
        <v>3</v>
      </c>
      <c r="H3" s="165">
        <v>4</v>
      </c>
      <c r="I3" s="165">
        <v>5</v>
      </c>
      <c r="J3" s="187"/>
      <c r="K3" s="166">
        <v>1</v>
      </c>
      <c r="L3" s="166">
        <v>2</v>
      </c>
      <c r="M3" s="166">
        <v>3</v>
      </c>
      <c r="N3" s="166">
        <v>4</v>
      </c>
      <c r="O3" s="166">
        <v>5</v>
      </c>
      <c r="P3" s="166">
        <v>6</v>
      </c>
      <c r="Q3" s="166">
        <v>7</v>
      </c>
      <c r="R3" s="166">
        <v>8</v>
      </c>
      <c r="S3" s="166">
        <v>9</v>
      </c>
      <c r="T3" s="166">
        <v>10</v>
      </c>
      <c r="U3" s="166">
        <v>11</v>
      </c>
      <c r="V3" s="167">
        <v>12</v>
      </c>
      <c r="W3" s="166">
        <v>13</v>
      </c>
      <c r="X3" s="166">
        <v>14</v>
      </c>
      <c r="Y3" s="166">
        <v>15</v>
      </c>
      <c r="Z3" s="166">
        <v>16</v>
      </c>
      <c r="AA3" s="166">
        <v>17</v>
      </c>
      <c r="AB3" s="166">
        <v>18</v>
      </c>
      <c r="AC3" s="166">
        <v>19</v>
      </c>
      <c r="AD3" s="166">
        <v>20</v>
      </c>
      <c r="AE3" s="166">
        <v>21</v>
      </c>
      <c r="AF3" s="166">
        <v>22</v>
      </c>
      <c r="AG3" s="166">
        <v>23</v>
      </c>
      <c r="AH3" s="167">
        <v>24</v>
      </c>
      <c r="AI3" s="166">
        <v>25</v>
      </c>
      <c r="AJ3" s="166">
        <v>26</v>
      </c>
      <c r="AK3" s="166">
        <v>27</v>
      </c>
      <c r="AL3" s="166">
        <v>28</v>
      </c>
      <c r="AM3" s="166">
        <v>29</v>
      </c>
      <c r="AN3" s="166">
        <v>30</v>
      </c>
      <c r="AO3" s="166">
        <v>31</v>
      </c>
      <c r="AP3" s="166">
        <v>32</v>
      </c>
      <c r="AQ3" s="166">
        <v>33</v>
      </c>
      <c r="AR3" s="166">
        <v>34</v>
      </c>
      <c r="AS3" s="166">
        <v>35</v>
      </c>
      <c r="AT3" s="167">
        <v>36</v>
      </c>
      <c r="AU3" s="166">
        <v>37</v>
      </c>
      <c r="AV3" s="166">
        <v>38</v>
      </c>
      <c r="AW3" s="166">
        <v>39</v>
      </c>
      <c r="AX3" s="166">
        <v>40</v>
      </c>
      <c r="AY3" s="166">
        <v>41</v>
      </c>
      <c r="AZ3" s="166">
        <v>42</v>
      </c>
      <c r="BA3" s="166">
        <v>43</v>
      </c>
      <c r="BB3" s="166">
        <v>44</v>
      </c>
      <c r="BC3" s="166">
        <v>45</v>
      </c>
      <c r="BD3" s="166">
        <v>46</v>
      </c>
      <c r="BE3" s="166">
        <v>47</v>
      </c>
      <c r="BF3" s="167">
        <v>48</v>
      </c>
      <c r="BG3" s="166">
        <v>49</v>
      </c>
      <c r="BH3" s="166">
        <v>50</v>
      </c>
      <c r="BI3" s="166">
        <v>51</v>
      </c>
      <c r="BJ3" s="166">
        <v>52</v>
      </c>
      <c r="BK3" s="166">
        <v>53</v>
      </c>
      <c r="BL3" s="166">
        <v>54</v>
      </c>
      <c r="BM3" s="166">
        <v>55</v>
      </c>
      <c r="BN3" s="166">
        <v>56</v>
      </c>
      <c r="BO3" s="166">
        <v>57</v>
      </c>
      <c r="BP3" s="166">
        <v>58</v>
      </c>
      <c r="BQ3" s="166">
        <v>59</v>
      </c>
      <c r="BR3" s="167">
        <v>60</v>
      </c>
    </row>
    <row r="4" spans="1:70" ht="6" customHeight="1" x14ac:dyDescent="0.3"/>
    <row r="5" spans="1:70" s="93" customFormat="1" x14ac:dyDescent="0.3">
      <c r="A5" s="14"/>
      <c r="B5" s="97" t="s">
        <v>99</v>
      </c>
      <c r="E5" s="96">
        <f t="shared" ref="E5:E8" si="0">SUM(K5:V5)</f>
        <v>185.03343559349858</v>
      </c>
      <c r="F5" s="96">
        <f t="shared" ref="F5:F8" si="1">SUM(W5:AH5)</f>
        <v>196.44589302267605</v>
      </c>
      <c r="G5" s="96">
        <f t="shared" ref="G5:G8" si="2">SUM(AI5:AT5)</f>
        <v>208.56224585408205</v>
      </c>
      <c r="H5" s="96">
        <f t="shared" ref="H5:H8" si="3">SUM(AU5:BF5)</f>
        <v>221.42590881590735</v>
      </c>
      <c r="I5" s="96">
        <f t="shared" ref="I5:I8" si="4">SUM(BG5:BR5)</f>
        <v>235.08297436178043</v>
      </c>
      <c r="K5" s="94">
        <f>LoanRevApplication/1000*Loans!K5</f>
        <v>15</v>
      </c>
      <c r="L5" s="94">
        <f>LoanRevApplication/1000*Loans!L5</f>
        <v>15.074999999999998</v>
      </c>
      <c r="M5" s="94">
        <f>LoanRevApplication/1000*Loans!M5</f>
        <v>15.150374999999995</v>
      </c>
      <c r="N5" s="94">
        <f>LoanRevApplication/1000*Loans!N5</f>
        <v>15.226126874999993</v>
      </c>
      <c r="O5" s="94">
        <f>LoanRevApplication/1000*Loans!O5</f>
        <v>15.302257509374993</v>
      </c>
      <c r="P5" s="94">
        <f>LoanRevApplication/1000*Loans!P5</f>
        <v>15.378768796921864</v>
      </c>
      <c r="Q5" s="94">
        <f>LoanRevApplication/1000*Loans!Q5</f>
        <v>15.455662640906471</v>
      </c>
      <c r="R5" s="94">
        <f>LoanRevApplication/1000*Loans!R5</f>
        <v>15.532940954111002</v>
      </c>
      <c r="S5" s="94">
        <f>LoanRevApplication/1000*Loans!S5</f>
        <v>15.610605658881555</v>
      </c>
      <c r="T5" s="94">
        <f>LoanRevApplication/1000*Loans!T5</f>
        <v>15.688658687175961</v>
      </c>
      <c r="U5" s="94">
        <f>LoanRevApplication/1000*Loans!U5</f>
        <v>15.767101980611839</v>
      </c>
      <c r="V5" s="209">
        <f>LoanRevApplication/1000*Loans!V5</f>
        <v>15.845937490514896</v>
      </c>
      <c r="W5" s="94">
        <f>LoanRevApplication/1000*Loans!W5</f>
        <v>15.925167177967467</v>
      </c>
      <c r="X5" s="94">
        <f>LoanRevApplication/1000*Loans!X5</f>
        <v>16.004793013857302</v>
      </c>
      <c r="Y5" s="94">
        <f>LoanRevApplication/1000*Loans!Y5</f>
        <v>16.08481697892659</v>
      </c>
      <c r="Z5" s="94">
        <f>LoanRevApplication/1000*Loans!Z5</f>
        <v>16.16524106382122</v>
      </c>
      <c r="AA5" s="94">
        <f>LoanRevApplication/1000*Loans!AA5</f>
        <v>16.246067269140323</v>
      </c>
      <c r="AB5" s="94">
        <f>LoanRevApplication/1000*Loans!AB5</f>
        <v>16.327297605486024</v>
      </c>
      <c r="AC5" s="94">
        <f>LoanRevApplication/1000*Loans!AC5</f>
        <v>16.408934093513452</v>
      </c>
      <c r="AD5" s="94">
        <f>LoanRevApplication/1000*Loans!AD5</f>
        <v>16.490978763981015</v>
      </c>
      <c r="AE5" s="94">
        <f>LoanRevApplication/1000*Loans!AE5</f>
        <v>16.573433657800919</v>
      </c>
      <c r="AF5" s="94">
        <f>LoanRevApplication/1000*Loans!AF5</f>
        <v>16.656300826089922</v>
      </c>
      <c r="AG5" s="94">
        <f>LoanRevApplication/1000*Loans!AG5</f>
        <v>16.739582330220369</v>
      </c>
      <c r="AH5" s="209">
        <f>LoanRevApplication/1000*Loans!AH5</f>
        <v>16.823280241871469</v>
      </c>
      <c r="AI5" s="94">
        <f>LoanRevApplication/1000*Loans!AI5</f>
        <v>16.907396643080826</v>
      </c>
      <c r="AJ5" s="94">
        <f>LoanRevApplication/1000*Loans!AJ5</f>
        <v>16.99193362629623</v>
      </c>
      <c r="AK5" s="94">
        <f>LoanRevApplication/1000*Loans!AK5</f>
        <v>17.076893294427709</v>
      </c>
      <c r="AL5" s="94">
        <f>LoanRevApplication/1000*Loans!AL5</f>
        <v>17.162277760899844</v>
      </c>
      <c r="AM5" s="94">
        <f>LoanRevApplication/1000*Loans!AM5</f>
        <v>17.248089149704342</v>
      </c>
      <c r="AN5" s="94">
        <f>LoanRevApplication/1000*Loans!AN5</f>
        <v>17.334329595452864</v>
      </c>
      <c r="AO5" s="94">
        <f>LoanRevApplication/1000*Loans!AO5</f>
        <v>17.421001243430126</v>
      </c>
      <c r="AP5" s="94">
        <f>LoanRevApplication/1000*Loans!AP5</f>
        <v>17.508106249647273</v>
      </c>
      <c r="AQ5" s="94">
        <f>LoanRevApplication/1000*Loans!AQ5</f>
        <v>17.59564678089551</v>
      </c>
      <c r="AR5" s="94">
        <f>LoanRevApplication/1000*Loans!AR5</f>
        <v>17.683625014799986</v>
      </c>
      <c r="AS5" s="94">
        <f>LoanRevApplication/1000*Loans!AS5</f>
        <v>17.772043139873983</v>
      </c>
      <c r="AT5" s="209">
        <f>LoanRevApplication/1000*Loans!AT5</f>
        <v>17.860903355573353</v>
      </c>
      <c r="AU5" s="94">
        <f>LoanRevApplication/1000*Loans!AU5</f>
        <v>17.950207872351218</v>
      </c>
      <c r="AV5" s="94">
        <f>LoanRevApplication/1000*Loans!AV5</f>
        <v>18.039958911712972</v>
      </c>
      <c r="AW5" s="94">
        <f>LoanRevApplication/1000*Loans!AW5</f>
        <v>18.130158706271533</v>
      </c>
      <c r="AX5" s="94">
        <f>LoanRevApplication/1000*Loans!AX5</f>
        <v>18.22080949980289</v>
      </c>
      <c r="AY5" s="94">
        <f>LoanRevApplication/1000*Loans!AY5</f>
        <v>18.311913547301902</v>
      </c>
      <c r="AZ5" s="94">
        <f>LoanRevApplication/1000*Loans!AZ5</f>
        <v>18.403473115038409</v>
      </c>
      <c r="BA5" s="94">
        <f>LoanRevApplication/1000*Loans!BA5</f>
        <v>18.495490480613601</v>
      </c>
      <c r="BB5" s="94">
        <f>LoanRevApplication/1000*Loans!BB5</f>
        <v>18.587967933016664</v>
      </c>
      <c r="BC5" s="94">
        <f>LoanRevApplication/1000*Loans!BC5</f>
        <v>18.680907772681746</v>
      </c>
      <c r="BD5" s="94">
        <f>LoanRevApplication/1000*Loans!BD5</f>
        <v>18.774312311545152</v>
      </c>
      <c r="BE5" s="94">
        <f>LoanRevApplication/1000*Loans!BE5</f>
        <v>18.868183873102879</v>
      </c>
      <c r="BF5" s="209">
        <f>LoanRevApplication/1000*Loans!BF5</f>
        <v>18.96252479246839</v>
      </c>
      <c r="BG5" s="94">
        <f>LoanRevApplication/1000*Loans!BG5</f>
        <v>19.05733741643073</v>
      </c>
      <c r="BH5" s="94">
        <f>LoanRevApplication/1000*Loans!BH5</f>
        <v>19.152624103512881</v>
      </c>
      <c r="BI5" s="94">
        <f>LoanRevApplication/1000*Loans!BI5</f>
        <v>19.248387224030441</v>
      </c>
      <c r="BJ5" s="94">
        <f>LoanRevApplication/1000*Loans!BJ5</f>
        <v>19.344629160150593</v>
      </c>
      <c r="BK5" s="94">
        <f>LoanRevApplication/1000*Loans!BK5</f>
        <v>19.441352305951344</v>
      </c>
      <c r="BL5" s="94">
        <f>LoanRevApplication/1000*Loans!BL5</f>
        <v>19.538559067481099</v>
      </c>
      <c r="BM5" s="94">
        <f>LoanRevApplication/1000*Loans!BM5</f>
        <v>19.636251862818501</v>
      </c>
      <c r="BN5" s="94">
        <f>LoanRevApplication/1000*Loans!BN5</f>
        <v>19.734433122132589</v>
      </c>
      <c r="BO5" s="94">
        <f>LoanRevApplication/1000*Loans!BO5</f>
        <v>19.833105287743251</v>
      </c>
      <c r="BP5" s="94">
        <f>LoanRevApplication/1000*Loans!BP5</f>
        <v>19.932270814181965</v>
      </c>
      <c r="BQ5" s="94">
        <f>LoanRevApplication/1000*Loans!BQ5</f>
        <v>20.031932168252876</v>
      </c>
      <c r="BR5" s="209">
        <f>LoanRevApplication/1000*Loans!BR5</f>
        <v>20.132091829094136</v>
      </c>
    </row>
    <row r="6" spans="1:70" s="93" customFormat="1" x14ac:dyDescent="0.3">
      <c r="A6" s="14"/>
      <c r="B6" s="97" t="s">
        <v>100</v>
      </c>
      <c r="E6" s="96">
        <f t="shared" si="0"/>
        <v>339.2279652547474</v>
      </c>
      <c r="F6" s="96">
        <f t="shared" si="1"/>
        <v>360.1508038749061</v>
      </c>
      <c r="G6" s="96">
        <f t="shared" si="2"/>
        <v>382.36411739915036</v>
      </c>
      <c r="H6" s="96">
        <f t="shared" si="3"/>
        <v>405.94749949583013</v>
      </c>
      <c r="I6" s="96">
        <f t="shared" si="4"/>
        <v>430.98545299659747</v>
      </c>
      <c r="K6" s="94">
        <f>LoanRevOrigination*Loans!K19</f>
        <v>27.5</v>
      </c>
      <c r="L6" s="94">
        <f>LoanRevOrigination*Loans!L19</f>
        <v>27.637499999999992</v>
      </c>
      <c r="M6" s="94">
        <f>LoanRevOrigination*Loans!M19</f>
        <v>27.775687499999989</v>
      </c>
      <c r="N6" s="94">
        <f>LoanRevOrigination*Loans!N19</f>
        <v>27.914565937499987</v>
      </c>
      <c r="O6" s="94">
        <f>LoanRevOrigination*Loans!O19</f>
        <v>28.054138767187489</v>
      </c>
      <c r="P6" s="94">
        <f>LoanRevOrigination*Loans!P19</f>
        <v>28.194409461023419</v>
      </c>
      <c r="Q6" s="94">
        <f>LoanRevOrigination*Loans!Q19</f>
        <v>28.335381508328528</v>
      </c>
      <c r="R6" s="94">
        <f>LoanRevOrigination*Loans!R19</f>
        <v>28.477058415870168</v>
      </c>
      <c r="S6" s="94">
        <f>LoanRevOrigination*Loans!S19</f>
        <v>28.619443707949518</v>
      </c>
      <c r="T6" s="94">
        <f>LoanRevOrigination*Loans!T19</f>
        <v>28.762540926489258</v>
      </c>
      <c r="U6" s="94">
        <f>LoanRevOrigination*Loans!U19</f>
        <v>28.906353631121704</v>
      </c>
      <c r="V6" s="209">
        <f>LoanRevOrigination*Loans!V19</f>
        <v>29.050885399277306</v>
      </c>
      <c r="W6" s="94">
        <f>LoanRevOrigination*Loans!W19</f>
        <v>29.19613982627369</v>
      </c>
      <c r="X6" s="94">
        <f>LoanRevOrigination*Loans!X19</f>
        <v>29.342120525405054</v>
      </c>
      <c r="Y6" s="94">
        <f>LoanRevOrigination*Loans!Y19</f>
        <v>29.488831128032075</v>
      </c>
      <c r="Z6" s="94">
        <f>LoanRevOrigination*Loans!Z19</f>
        <v>29.636275283672237</v>
      </c>
      <c r="AA6" s="94">
        <f>LoanRevOrigination*Loans!AA19</f>
        <v>29.784456660090591</v>
      </c>
      <c r="AB6" s="94">
        <f>LoanRevOrigination*Loans!AB19</f>
        <v>29.933378943391038</v>
      </c>
      <c r="AC6" s="94">
        <f>LoanRevOrigination*Loans!AC19</f>
        <v>30.083045838107992</v>
      </c>
      <c r="AD6" s="94">
        <f>LoanRevOrigination*Loans!AD19</f>
        <v>30.233461067298528</v>
      </c>
      <c r="AE6" s="94">
        <f>LoanRevOrigination*Loans!AE19</f>
        <v>30.384628372635021</v>
      </c>
      <c r="AF6" s="94">
        <f>LoanRevOrigination*Loans!AF19</f>
        <v>30.536551514498189</v>
      </c>
      <c r="AG6" s="94">
        <f>LoanRevOrigination*Loans!AG19</f>
        <v>30.689234272070678</v>
      </c>
      <c r="AH6" s="209">
        <f>LoanRevOrigination*Loans!AH19</f>
        <v>30.842680443431025</v>
      </c>
      <c r="AI6" s="94">
        <f>LoanRevOrigination*Loans!AI19</f>
        <v>30.996893845648181</v>
      </c>
      <c r="AJ6" s="94">
        <f>LoanRevOrigination*Loans!AJ19</f>
        <v>31.15187831487642</v>
      </c>
      <c r="AK6" s="94">
        <f>LoanRevOrigination*Loans!AK19</f>
        <v>31.307637706450798</v>
      </c>
      <c r="AL6" s="94">
        <f>LoanRevOrigination*Loans!AL19</f>
        <v>31.46417589498305</v>
      </c>
      <c r="AM6" s="94">
        <f>LoanRevOrigination*Loans!AM19</f>
        <v>31.621496774457963</v>
      </c>
      <c r="AN6" s="94">
        <f>LoanRevOrigination*Loans!AN19</f>
        <v>31.779604258330249</v>
      </c>
      <c r="AO6" s="94">
        <f>LoanRevOrigination*Loans!AO19</f>
        <v>31.938502279621897</v>
      </c>
      <c r="AP6" s="94">
        <f>LoanRevOrigination*Loans!AP19</f>
        <v>32.098194791019999</v>
      </c>
      <c r="AQ6" s="94">
        <f>LoanRevOrigination*Loans!AQ19</f>
        <v>32.258685764975098</v>
      </c>
      <c r="AR6" s="94">
        <f>LoanRevOrigination*Loans!AR19</f>
        <v>32.419979193799975</v>
      </c>
      <c r="AS6" s="94">
        <f>LoanRevOrigination*Loans!AS19</f>
        <v>32.582079089768968</v>
      </c>
      <c r="AT6" s="209">
        <f>LoanRevOrigination*Loans!AT19</f>
        <v>32.744989485217815</v>
      </c>
      <c r="AU6" s="94">
        <f>LoanRevOrigination*Loans!AU19</f>
        <v>32.908714432643897</v>
      </c>
      <c r="AV6" s="94">
        <f>LoanRevOrigination*Loans!AV19</f>
        <v>33.073258004807109</v>
      </c>
      <c r="AW6" s="94">
        <f>LoanRevOrigination*Loans!AW19</f>
        <v>33.238624294831148</v>
      </c>
      <c r="AX6" s="94">
        <f>LoanRevOrigination*Loans!AX19</f>
        <v>33.404817416305299</v>
      </c>
      <c r="AY6" s="94">
        <f>LoanRevOrigination*Loans!AY19</f>
        <v>33.571841503386821</v>
      </c>
      <c r="AZ6" s="94">
        <f>LoanRevOrigination*Loans!AZ19</f>
        <v>33.739700710903747</v>
      </c>
      <c r="BA6" s="94">
        <f>LoanRevOrigination*Loans!BA19</f>
        <v>33.908399214458264</v>
      </c>
      <c r="BB6" s="94">
        <f>LoanRevOrigination*Loans!BB19</f>
        <v>34.077941210530554</v>
      </c>
      <c r="BC6" s="94">
        <f>LoanRevOrigination*Loans!BC19</f>
        <v>34.2483309165832</v>
      </c>
      <c r="BD6" s="94">
        <f>LoanRevOrigination*Loans!BD19</f>
        <v>34.419572571166114</v>
      </c>
      <c r="BE6" s="94">
        <f>LoanRevOrigination*Loans!BE19</f>
        <v>34.591670434021943</v>
      </c>
      <c r="BF6" s="209">
        <f>LoanRevOrigination*Loans!BF19</f>
        <v>34.764628786192048</v>
      </c>
      <c r="BG6" s="94">
        <f>LoanRevOrigination*Loans!BG19</f>
        <v>34.938451930123001</v>
      </c>
      <c r="BH6" s="94">
        <f>LoanRevOrigination*Loans!BH19</f>
        <v>35.113144189773614</v>
      </c>
      <c r="BI6" s="94">
        <f>LoanRevOrigination*Loans!BI19</f>
        <v>35.288709910722481</v>
      </c>
      <c r="BJ6" s="94">
        <f>LoanRevOrigination*Loans!BJ19</f>
        <v>35.465153460276092</v>
      </c>
      <c r="BK6" s="94">
        <f>LoanRevOrigination*Loans!BK19</f>
        <v>35.642479227577461</v>
      </c>
      <c r="BL6" s="94">
        <f>LoanRevOrigination*Loans!BL19</f>
        <v>35.820691623715348</v>
      </c>
      <c r="BM6" s="94">
        <f>LoanRevOrigination*Loans!BM19</f>
        <v>35.999795081833916</v>
      </c>
      <c r="BN6" s="94">
        <f>LoanRevOrigination*Loans!BN19</f>
        <v>36.179794057243086</v>
      </c>
      <c r="BO6" s="94">
        <f>LoanRevOrigination*Loans!BO19</f>
        <v>36.360693027529294</v>
      </c>
      <c r="BP6" s="94">
        <f>LoanRevOrigination*Loans!BP19</f>
        <v>36.542496492666942</v>
      </c>
      <c r="BQ6" s="94">
        <f>LoanRevOrigination*Loans!BQ19</f>
        <v>36.725208975130265</v>
      </c>
      <c r="BR6" s="209">
        <f>LoanRevOrigination*Loans!BR19</f>
        <v>36.90883502000591</v>
      </c>
    </row>
    <row r="7" spans="1:70" s="93" customFormat="1" x14ac:dyDescent="0.3">
      <c r="A7" s="14"/>
      <c r="B7" s="97" t="s">
        <v>101</v>
      </c>
      <c r="E7" s="96">
        <f t="shared" ca="1" si="0"/>
        <v>202.79706089993576</v>
      </c>
      <c r="F7" s="96">
        <f t="shared" ca="1" si="1"/>
        <v>338.27493923819429</v>
      </c>
      <c r="G7" s="96">
        <f t="shared" ca="1" si="2"/>
        <v>341.61182949959846</v>
      </c>
      <c r="H7" s="96">
        <f t="shared" ca="1" si="3"/>
        <v>341.77966645660121</v>
      </c>
      <c r="I7" s="96">
        <f t="shared" ca="1" si="4"/>
        <v>344.43989936296521</v>
      </c>
      <c r="K7" s="94">
        <f ca="1">(LoanRevServicing/12)*Loans!K23</f>
        <v>3.9591425759782792</v>
      </c>
      <c r="L7" s="94">
        <f ca="1">(LoanRevServicing/12)*Loans!L23</f>
        <v>7.7331547196638066</v>
      </c>
      <c r="M7" s="94">
        <f ca="1">(LoanRevServicing/12)*Loans!M23</f>
        <v>11.318256505638594</v>
      </c>
      <c r="N7" s="94">
        <f ca="1">(LoanRevServicing/12)*Loans!N23</f>
        <v>13.381194952769391</v>
      </c>
      <c r="O7" s="94">
        <f ca="1">(LoanRevServicing/12)*Loans!O23</f>
        <v>15.320202545646742</v>
      </c>
      <c r="P7" s="94">
        <f ca="1">(LoanRevServicing/12)*Loans!P23</f>
        <v>17.138941430443179</v>
      </c>
      <c r="Q7" s="94">
        <f ca="1">(LoanRevServicing/12)*Loans!Q23</f>
        <v>18.834990358484156</v>
      </c>
      <c r="R7" s="94">
        <f ca="1">(LoanRevServicing/12)*Loans!R23</f>
        <v>20.405888111181042</v>
      </c>
      <c r="S7" s="94">
        <f ca="1">(LoanRevServicing/12)*Loans!S23</f>
        <v>21.849132876136096</v>
      </c>
      <c r="T7" s="94">
        <f ca="1">(LoanRevServicing/12)*Loans!T23</f>
        <v>23.158549979716316</v>
      </c>
      <c r="U7" s="94">
        <f ca="1">(LoanRevServicing/12)*Loans!U23</f>
        <v>24.331660217653816</v>
      </c>
      <c r="V7" s="209">
        <f ca="1">(LoanRevServicing/12)*Loans!V23</f>
        <v>25.365946626624361</v>
      </c>
      <c r="W7" s="94">
        <f ca="1">(LoanRevServicing/12)*Loans!W23</f>
        <v>26.264368983268128</v>
      </c>
      <c r="X7" s="94">
        <f ca="1">(LoanRevServicing/12)*Loans!X23</f>
        <v>27.020089849831741</v>
      </c>
      <c r="Y7" s="94">
        <f ca="1">(LoanRevServicing/12)*Loans!Y23</f>
        <v>27.630425507022473</v>
      </c>
      <c r="Z7" s="94">
        <f ca="1">(LoanRevServicing/12)*Loans!Z23</f>
        <v>28.092650159978088</v>
      </c>
      <c r="AA7" s="94">
        <f ca="1">(LoanRevServicing/12)*Loans!AA23</f>
        <v>28.403995313427068</v>
      </c>
      <c r="AB7" s="94">
        <f ca="1">(LoanRevServicing/12)*Loans!AB23</f>
        <v>28.561649137726196</v>
      </c>
      <c r="AC7" s="94">
        <f ca="1">(LoanRevServicing/12)*Loans!AC23</f>
        <v>28.719423295911277</v>
      </c>
      <c r="AD7" s="94">
        <f ca="1">(LoanRevServicing/12)*Loans!AD23</f>
        <v>28.719784207387566</v>
      </c>
      <c r="AE7" s="94">
        <f ca="1">(LoanRevServicing/12)*Loans!AE23</f>
        <v>28.719059191926924</v>
      </c>
      <c r="AF7" s="94">
        <f ca="1">(LoanRevServicing/12)*Loans!AF23</f>
        <v>28.717348430090482</v>
      </c>
      <c r="AG7" s="94">
        <f ca="1">(LoanRevServicing/12)*Loans!AG23</f>
        <v>28.714755865311098</v>
      </c>
      <c r="AH7" s="209">
        <f ca="1">(LoanRevServicing/12)*Loans!AH23</f>
        <v>28.711389296313307</v>
      </c>
      <c r="AI7" s="94">
        <f ca="1">(LoanRevServicing/12)*Loans!AI23</f>
        <v>28.707360471460927</v>
      </c>
      <c r="AJ7" s="94">
        <f ca="1">(LoanRevServicing/12)*Loans!AJ23</f>
        <v>28.630018802641796</v>
      </c>
      <c r="AK7" s="94">
        <f ca="1">(LoanRevServicing/12)*Loans!AK23</f>
        <v>28.555913723383032</v>
      </c>
      <c r="AL7" s="94">
        <f ca="1">(LoanRevServicing/12)*Loans!AL23</f>
        <v>28.485212820973178</v>
      </c>
      <c r="AM7" s="94">
        <f ca="1">(LoanRevServicing/12)*Loans!AM23</f>
        <v>28.526118551288924</v>
      </c>
      <c r="AN7" s="94">
        <f ca="1">(LoanRevServicing/12)*Loans!AN23</f>
        <v>28.486348675187998</v>
      </c>
      <c r="AO7" s="94">
        <f ca="1">(LoanRevServicing/12)*Loans!AO23</f>
        <v>28.449006359235415</v>
      </c>
      <c r="AP7" s="94">
        <f ca="1">(LoanRevServicing/12)*Loans!AP23</f>
        <v>28.414119680516077</v>
      </c>
      <c r="AQ7" s="94">
        <f ca="1">(LoanRevServicing/12)*Loans!AQ23</f>
        <v>28.381717124561298</v>
      </c>
      <c r="AR7" s="94">
        <f ca="1">(LoanRevServicing/12)*Loans!AR23</f>
        <v>28.351827591196333</v>
      </c>
      <c r="AS7" s="94">
        <f ca="1">(LoanRevServicing/12)*Loans!AS23</f>
        <v>28.32448040047197</v>
      </c>
      <c r="AT7" s="209">
        <f ca="1">(LoanRevServicing/12)*Loans!AT23</f>
        <v>28.299705298681459</v>
      </c>
      <c r="AU7" s="94">
        <f ca="1">(LoanRevServicing/12)*Loans!AU23</f>
        <v>28.277532464464006</v>
      </c>
      <c r="AV7" s="94">
        <f ca="1">(LoanRevServicing/12)*Loans!AV23</f>
        <v>28.257992514996019</v>
      </c>
      <c r="AW7" s="94">
        <f ca="1">(LoanRevServicing/12)*Loans!AW23</f>
        <v>28.241116512271464</v>
      </c>
      <c r="AX7" s="94">
        <f ca="1">(LoanRevServicing/12)*Loans!AX23</f>
        <v>28.226935969472525</v>
      </c>
      <c r="AY7" s="94">
        <f ca="1">(LoanRevServicing/12)*Loans!AY23</f>
        <v>28.215482857431923</v>
      </c>
      <c r="AZ7" s="94">
        <f ca="1">(LoanRevServicing/12)*Loans!AZ23</f>
        <v>28.384617305829416</v>
      </c>
      <c r="BA7" s="94">
        <f ca="1">(LoanRevServicing/12)*Loans!BA23</f>
        <v>28.556188870528374</v>
      </c>
      <c r="BB7" s="94">
        <f ca="1">(LoanRevServicing/12)*Loans!BB23</f>
        <v>28.730231468506361</v>
      </c>
      <c r="BC7" s="94">
        <f ca="1">(LoanRevServicing/12)*Loans!BC23</f>
        <v>28.726964892290489</v>
      </c>
      <c r="BD7" s="94">
        <f ca="1">(LoanRevServicing/12)*Loans!BD23</f>
        <v>28.723828900927092</v>
      </c>
      <c r="BE7" s="94">
        <f ca="1">(LoanRevServicing/12)*Loans!BE23</f>
        <v>28.720824000422709</v>
      </c>
      <c r="BF7" s="209">
        <f ca="1">(LoanRevServicing/12)*Loans!BF23</f>
        <v>28.717950699460818</v>
      </c>
      <c r="BG7" s="94">
        <f ca="1">(LoanRevServicing/12)*Loans!BG23</f>
        <v>28.715209509415079</v>
      </c>
      <c r="BH7" s="94">
        <f ca="1">(LoanRevServicing/12)*Loans!BH23</f>
        <v>28.712600944362652</v>
      </c>
      <c r="BI7" s="94">
        <f ca="1">(LoanRevServicing/12)*Loans!BI23</f>
        <v>28.710125521097556</v>
      </c>
      <c r="BJ7" s="94">
        <f ca="1">(LoanRevServicing/12)*Loans!BJ23</f>
        <v>28.707783759144128</v>
      </c>
      <c r="BK7" s="94">
        <f ca="1">(LoanRevServicing/12)*Loans!BK23</f>
        <v>28.705576180770489</v>
      </c>
      <c r="BL7" s="94">
        <f ca="1">(LoanRevServicing/12)*Loans!BL23</f>
        <v>28.703503311002152</v>
      </c>
      <c r="BM7" s="94">
        <f ca="1">(LoanRevServicing/12)*Loans!BM23</f>
        <v>28.701565677635653</v>
      </c>
      <c r="BN7" s="94">
        <f ca="1">(LoanRevServicing/12)*Loans!BN23</f>
        <v>28.699763811252236</v>
      </c>
      <c r="BO7" s="94">
        <f ca="1">(LoanRevServicing/12)*Loans!BO23</f>
        <v>28.698098245231677</v>
      </c>
      <c r="BP7" s="94">
        <f ca="1">(LoanRevServicing/12)*Loans!BP23</f>
        <v>28.696569515766086</v>
      </c>
      <c r="BQ7" s="94">
        <f ca="1">(LoanRevServicing/12)*Loans!BQ23</f>
        <v>28.695178161873859</v>
      </c>
      <c r="BR7" s="209">
        <f ca="1">(LoanRevServicing/12)*Loans!BR23</f>
        <v>28.693924725413648</v>
      </c>
    </row>
    <row r="8" spans="1:70" s="105" customFormat="1" x14ac:dyDescent="0.3">
      <c r="A8" s="6"/>
      <c r="B8" s="138" t="s">
        <v>102</v>
      </c>
      <c r="C8" s="94"/>
      <c r="D8" s="94"/>
      <c r="E8" s="122">
        <f t="shared" ca="1" si="0"/>
        <v>42.587382788986517</v>
      </c>
      <c r="F8" s="122">
        <f t="shared" ca="1" si="1"/>
        <v>71.037737240020817</v>
      </c>
      <c r="G8" s="122">
        <f t="shared" ca="1" si="2"/>
        <v>71.738484194915671</v>
      </c>
      <c r="H8" s="122">
        <f t="shared" ca="1" si="3"/>
        <v>71.773729955886239</v>
      </c>
      <c r="I8" s="122">
        <f t="shared" ca="1" si="4"/>
        <v>72.332378866222697</v>
      </c>
      <c r="J8" s="94"/>
      <c r="K8" s="123">
        <f ca="1">MitigateDelinquency*(LoanRevDelinquency/1000)*Loans!K23</f>
        <v>0.8314199409554387</v>
      </c>
      <c r="L8" s="123">
        <f ca="1">MitigateDelinquency*(LoanRevDelinquency/1000)*Loans!L23</f>
        <v>1.6239624911293995</v>
      </c>
      <c r="M8" s="123">
        <f ca="1">MitigateDelinquency*(LoanRevDelinquency/1000)*Loans!M23</f>
        <v>2.3768338661841049</v>
      </c>
      <c r="N8" s="123">
        <f ca="1">MitigateDelinquency*(LoanRevDelinquency/1000)*Loans!N23</f>
        <v>2.8100509400815725</v>
      </c>
      <c r="O8" s="123">
        <f ca="1">MitigateDelinquency*(LoanRevDelinquency/1000)*Loans!O23</f>
        <v>3.2172425345858158</v>
      </c>
      <c r="P8" s="123">
        <f ca="1">MitigateDelinquency*(LoanRevDelinquency/1000)*Loans!P23</f>
        <v>3.5991777003930676</v>
      </c>
      <c r="Q8" s="123">
        <f ca="1">MitigateDelinquency*(LoanRevDelinquency/1000)*Loans!Q23</f>
        <v>3.9553479752816725</v>
      </c>
      <c r="R8" s="123">
        <f ca="1">MitigateDelinquency*(LoanRevDelinquency/1000)*Loans!R23</f>
        <v>4.2852365033480195</v>
      </c>
      <c r="S8" s="123">
        <f ca="1">MitigateDelinquency*(LoanRevDelinquency/1000)*Loans!S23</f>
        <v>4.58831790398858</v>
      </c>
      <c r="T8" s="123">
        <f ca="1">MitigateDelinquency*(LoanRevDelinquency/1000)*Loans!T23</f>
        <v>4.8632954957404264</v>
      </c>
      <c r="U8" s="123">
        <f ca="1">MitigateDelinquency*(LoanRevDelinquency/1000)*Loans!U23</f>
        <v>5.1096486457073018</v>
      </c>
      <c r="V8" s="210">
        <f ca="1">MitigateDelinquency*(LoanRevDelinquency/1000)*Loans!V23</f>
        <v>5.3268487915911162</v>
      </c>
      <c r="W8" s="123">
        <f ca="1">MitigateDelinquency*(LoanRevDelinquency/1000)*Loans!W23</f>
        <v>5.5155174864863072</v>
      </c>
      <c r="X8" s="123">
        <f ca="1">MitigateDelinquency*(LoanRevDelinquency/1000)*Loans!X23</f>
        <v>5.6742188684646662</v>
      </c>
      <c r="Y8" s="123">
        <f ca="1">MitigateDelinquency*(LoanRevDelinquency/1000)*Loans!Y23</f>
        <v>5.8023893564747198</v>
      </c>
      <c r="Z8" s="123">
        <f ca="1">MitigateDelinquency*(LoanRevDelinquency/1000)*Loans!Z23</f>
        <v>5.8994565335953988</v>
      </c>
      <c r="AA8" s="123">
        <f ca="1">MitigateDelinquency*(LoanRevDelinquency/1000)*Loans!AA23</f>
        <v>5.9648390158196847</v>
      </c>
      <c r="AB8" s="123">
        <f ca="1">MitigateDelinquency*(LoanRevDelinquency/1000)*Loans!AB23</f>
        <v>5.9979463189225015</v>
      </c>
      <c r="AC8" s="123">
        <f ca="1">MitigateDelinquency*(LoanRevDelinquency/1000)*Loans!AC23</f>
        <v>6.0310788921413687</v>
      </c>
      <c r="AD8" s="123">
        <f ca="1">MitigateDelinquency*(LoanRevDelinquency/1000)*Loans!AD23</f>
        <v>6.0311546835513896</v>
      </c>
      <c r="AE8" s="123">
        <f ca="1">MitigateDelinquency*(LoanRevDelinquency/1000)*Loans!AE23</f>
        <v>6.031002430304655</v>
      </c>
      <c r="AF8" s="123">
        <f ca="1">MitigateDelinquency*(LoanRevDelinquency/1000)*Loans!AF23</f>
        <v>6.0306431703190011</v>
      </c>
      <c r="AG8" s="123">
        <f ca="1">MitigateDelinquency*(LoanRevDelinquency/1000)*Loans!AG23</f>
        <v>6.0300987317153307</v>
      </c>
      <c r="AH8" s="210">
        <f ca="1">MitigateDelinquency*(LoanRevDelinquency/1000)*Loans!AH23</f>
        <v>6.0293917522257949</v>
      </c>
      <c r="AI8" s="123">
        <f ca="1">MitigateDelinquency*(LoanRevDelinquency/1000)*Loans!AI23</f>
        <v>6.0285456990067949</v>
      </c>
      <c r="AJ8" s="123">
        <f ca="1">MitigateDelinquency*(LoanRevDelinquency/1000)*Loans!AJ23</f>
        <v>6.012303948554778</v>
      </c>
      <c r="AK8" s="123">
        <f ca="1">MitigateDelinquency*(LoanRevDelinquency/1000)*Loans!AK23</f>
        <v>5.9967418819104372</v>
      </c>
      <c r="AL8" s="123">
        <f ca="1">MitigateDelinquency*(LoanRevDelinquency/1000)*Loans!AL23</f>
        <v>5.9818946924043672</v>
      </c>
      <c r="AM8" s="123">
        <f ca="1">MitigateDelinquency*(LoanRevDelinquency/1000)*Loans!AM23</f>
        <v>5.990484895770674</v>
      </c>
      <c r="AN8" s="123">
        <f ca="1">MitigateDelinquency*(LoanRevDelinquency/1000)*Loans!AN23</f>
        <v>5.9821332217894794</v>
      </c>
      <c r="AO8" s="123">
        <f ca="1">MitigateDelinquency*(LoanRevDelinquency/1000)*Loans!AO23</f>
        <v>5.974291335439438</v>
      </c>
      <c r="AP8" s="123">
        <f ca="1">MitigateDelinquency*(LoanRevDelinquency/1000)*Loans!AP23</f>
        <v>5.9669651329083768</v>
      </c>
      <c r="AQ8" s="123">
        <f ca="1">MitigateDelinquency*(LoanRevDelinquency/1000)*Loans!AQ23</f>
        <v>5.9601605961578734</v>
      </c>
      <c r="AR8" s="123">
        <f ca="1">MitigateDelinquency*(LoanRevDelinquency/1000)*Loans!AR23</f>
        <v>5.9538837941512304</v>
      </c>
      <c r="AS8" s="123">
        <f ca="1">MitigateDelinquency*(LoanRevDelinquency/1000)*Loans!AS23</f>
        <v>5.9481408840991135</v>
      </c>
      <c r="AT8" s="210">
        <f ca="1">MitigateDelinquency*(LoanRevDelinquency/1000)*Loans!AT23</f>
        <v>5.9429381127231062</v>
      </c>
      <c r="AU8" s="123">
        <f ca="1">MitigateDelinquency*(LoanRevDelinquency/1000)*Loans!AU23</f>
        <v>5.9382818175374412</v>
      </c>
      <c r="AV8" s="123">
        <f ca="1">MitigateDelinquency*(LoanRevDelinquency/1000)*Loans!AV23</f>
        <v>5.9341784281491643</v>
      </c>
      <c r="AW8" s="123">
        <f ca="1">MitigateDelinquency*(LoanRevDelinquency/1000)*Loans!AW23</f>
        <v>5.9306344675770077</v>
      </c>
      <c r="AX8" s="123">
        <f ca="1">MitigateDelinquency*(LoanRevDelinquency/1000)*Loans!AX23</f>
        <v>5.9276565535892312</v>
      </c>
      <c r="AY8" s="123">
        <f ca="1">MitigateDelinquency*(LoanRevDelinquency/1000)*Loans!AY23</f>
        <v>5.9252514000607039</v>
      </c>
      <c r="AZ8" s="123">
        <f ca="1">MitigateDelinquency*(LoanRevDelinquency/1000)*Loans!AZ23</f>
        <v>5.960769634224178</v>
      </c>
      <c r="BA8" s="123">
        <f ca="1">MitigateDelinquency*(LoanRevDelinquency/1000)*Loans!BA23</f>
        <v>5.9967996628109592</v>
      </c>
      <c r="BB8" s="123">
        <f ca="1">MitigateDelinquency*(LoanRevDelinquency/1000)*Loans!BB23</f>
        <v>6.0333486083863361</v>
      </c>
      <c r="BC8" s="123">
        <f ca="1">MitigateDelinquency*(LoanRevDelinquency/1000)*Loans!BC23</f>
        <v>6.0326626273810033</v>
      </c>
      <c r="BD8" s="123">
        <f ca="1">MitigateDelinquency*(LoanRevDelinquency/1000)*Loans!BD23</f>
        <v>6.0320040691946906</v>
      </c>
      <c r="BE8" s="123">
        <f ca="1">MitigateDelinquency*(LoanRevDelinquency/1000)*Loans!BE23</f>
        <v>6.03137304008877</v>
      </c>
      <c r="BF8" s="210">
        <f ca="1">MitigateDelinquency*(LoanRevDelinquency/1000)*Loans!BF23</f>
        <v>6.030769646886772</v>
      </c>
      <c r="BG8" s="123">
        <f ca="1">MitigateDelinquency*(LoanRevDelinquency/1000)*Loans!BG23</f>
        <v>6.0301939969771672</v>
      </c>
      <c r="BH8" s="123">
        <f ca="1">MitigateDelinquency*(LoanRevDelinquency/1000)*Loans!BH23</f>
        <v>6.0296461983161578</v>
      </c>
      <c r="BI8" s="123">
        <f ca="1">MitigateDelinquency*(LoanRevDelinquency/1000)*Loans!BI23</f>
        <v>6.0291263594304878</v>
      </c>
      <c r="BJ8" s="123">
        <f ca="1">MitigateDelinquency*(LoanRevDelinquency/1000)*Loans!BJ23</f>
        <v>6.0286345894202675</v>
      </c>
      <c r="BK8" s="123">
        <f ca="1">MitigateDelinquency*(LoanRevDelinquency/1000)*Loans!BK23</f>
        <v>6.0281709979618032</v>
      </c>
      <c r="BL8" s="123">
        <f ca="1">MitigateDelinquency*(LoanRevDelinquency/1000)*Loans!BL23</f>
        <v>6.0277356953104526</v>
      </c>
      <c r="BM8" s="123">
        <f ca="1">MitigateDelinquency*(LoanRevDelinquency/1000)*Loans!BM23</f>
        <v>6.0273287923034875</v>
      </c>
      <c r="BN8" s="123">
        <f ca="1">MitigateDelinquency*(LoanRevDelinquency/1000)*Loans!BN23</f>
        <v>6.0269504003629697</v>
      </c>
      <c r="BO8" s="123">
        <f ca="1">MitigateDelinquency*(LoanRevDelinquency/1000)*Loans!BO23</f>
        <v>6.0266006314986527</v>
      </c>
      <c r="BP8" s="123">
        <f ca="1">MitigateDelinquency*(LoanRevDelinquency/1000)*Loans!BP23</f>
        <v>6.0262795983108788</v>
      </c>
      <c r="BQ8" s="123">
        <f ca="1">MitigateDelinquency*(LoanRevDelinquency/1000)*Loans!BQ23</f>
        <v>6.0259874139935112</v>
      </c>
      <c r="BR8" s="210">
        <f ca="1">MitigateDelinquency*(LoanRevDelinquency/1000)*Loans!BR23</f>
        <v>6.0257241923368667</v>
      </c>
    </row>
    <row r="9" spans="1:70" s="94" customFormat="1" x14ac:dyDescent="0.3">
      <c r="A9" s="164"/>
      <c r="B9" s="259" t="s">
        <v>103</v>
      </c>
      <c r="C9" s="93"/>
      <c r="D9" s="93"/>
      <c r="E9" s="94">
        <f t="shared" ref="E9:E14" ca="1" si="5">SUM(K9:V9)</f>
        <v>769.64584453716816</v>
      </c>
      <c r="F9" s="94">
        <f t="shared" ref="F9:F14" ca="1" si="6">SUM(W9:AH9)</f>
        <v>965.90937337579726</v>
      </c>
      <c r="G9" s="94">
        <f t="shared" ref="G9:G14" ca="1" si="7">SUM(AI9:AT9)</f>
        <v>1004.2766769477466</v>
      </c>
      <c r="H9" s="94">
        <f t="shared" ref="H9:H14" ca="1" si="8">SUM(AU9:BF9)</f>
        <v>1040.9268047242249</v>
      </c>
      <c r="I9" s="94">
        <f t="shared" ref="I9:I14" ca="1" si="9">SUM(BG9:BR9)</f>
        <v>1082.8407055875657</v>
      </c>
      <c r="J9" s="93"/>
      <c r="K9" s="93">
        <f ca="1">SUM(K5:K8)</f>
        <v>47.290562516933718</v>
      </c>
      <c r="L9" s="93">
        <f t="shared" ref="L9" ca="1" si="10">SUM(L5:L8)</f>
        <v>52.069617210793197</v>
      </c>
      <c r="M9" s="93">
        <f t="shared" ref="M9:X9" ca="1" si="11">SUM(M5:M8)</f>
        <v>56.621152871822687</v>
      </c>
      <c r="N9" s="93">
        <f t="shared" ca="1" si="11"/>
        <v>59.331938705350943</v>
      </c>
      <c r="O9" s="93">
        <f t="shared" ca="1" si="11"/>
        <v>61.893841356795036</v>
      </c>
      <c r="P9" s="93">
        <f t="shared" ca="1" si="11"/>
        <v>64.31129738878154</v>
      </c>
      <c r="Q9" s="93">
        <f t="shared" ca="1" si="11"/>
        <v>66.581382483000823</v>
      </c>
      <c r="R9" s="93">
        <f t="shared" ca="1" si="11"/>
        <v>68.701123984510232</v>
      </c>
      <c r="S9" s="93">
        <f t="shared" ca="1" si="11"/>
        <v>70.667500146955746</v>
      </c>
      <c r="T9" s="93">
        <f t="shared" ca="1" si="11"/>
        <v>72.473045089121968</v>
      </c>
      <c r="U9" s="93">
        <f t="shared" ca="1" si="11"/>
        <v>74.11476447509466</v>
      </c>
      <c r="V9" s="103">
        <f t="shared" ca="1" si="11"/>
        <v>75.589618308007687</v>
      </c>
      <c r="W9" s="93">
        <f t="shared" ca="1" si="11"/>
        <v>76.90119347399559</v>
      </c>
      <c r="X9" s="93">
        <f t="shared" ca="1" si="11"/>
        <v>78.041222257558758</v>
      </c>
      <c r="Y9" s="93">
        <f t="shared" ref="Y9:BR9" ca="1" si="12">SUM(Y5:Y8)</f>
        <v>79.006462970455857</v>
      </c>
      <c r="Z9" s="93">
        <f t="shared" ca="1" si="12"/>
        <v>79.793623041066951</v>
      </c>
      <c r="AA9" s="93">
        <f t="shared" ca="1" si="12"/>
        <v>80.399358258477662</v>
      </c>
      <c r="AB9" s="93">
        <f t="shared" ca="1" si="12"/>
        <v>80.820272005525752</v>
      </c>
      <c r="AC9" s="93">
        <f t="shared" ca="1" si="12"/>
        <v>81.242482119674079</v>
      </c>
      <c r="AD9" s="93">
        <f t="shared" ca="1" si="12"/>
        <v>81.475378722218494</v>
      </c>
      <c r="AE9" s="93">
        <f t="shared" ca="1" si="12"/>
        <v>81.708123652667524</v>
      </c>
      <c r="AF9" s="93">
        <f t="shared" ca="1" si="12"/>
        <v>81.940843940997581</v>
      </c>
      <c r="AG9" s="93">
        <f t="shared" ca="1" si="12"/>
        <v>82.173671199317482</v>
      </c>
      <c r="AH9" s="103">
        <f t="shared" ca="1" si="12"/>
        <v>82.406741733841585</v>
      </c>
      <c r="AI9" s="93">
        <f t="shared" ca="1" si="12"/>
        <v>82.640196659196732</v>
      </c>
      <c r="AJ9" s="93">
        <f t="shared" ca="1" si="12"/>
        <v>82.786134692369217</v>
      </c>
      <c r="AK9" s="93">
        <f t="shared" ca="1" si="12"/>
        <v>82.937186606171977</v>
      </c>
      <c r="AL9" s="93">
        <f t="shared" ca="1" si="12"/>
        <v>83.09356116926044</v>
      </c>
      <c r="AM9" s="93">
        <f t="shared" ca="1" si="12"/>
        <v>83.386189371221903</v>
      </c>
      <c r="AN9" s="93">
        <f t="shared" ca="1" si="12"/>
        <v>83.582415750760589</v>
      </c>
      <c r="AO9" s="93">
        <f t="shared" ca="1" si="12"/>
        <v>83.78280121772687</v>
      </c>
      <c r="AP9" s="93">
        <f t="shared" ca="1" si="12"/>
        <v>83.987385854091727</v>
      </c>
      <c r="AQ9" s="93">
        <f t="shared" ca="1" si="12"/>
        <v>84.196210266589773</v>
      </c>
      <c r="AR9" s="93">
        <f t="shared" ca="1" si="12"/>
        <v>84.409315593947511</v>
      </c>
      <c r="AS9" s="93">
        <f t="shared" ca="1" si="12"/>
        <v>84.626743514214041</v>
      </c>
      <c r="AT9" s="103">
        <f t="shared" ca="1" si="12"/>
        <v>84.848536252195743</v>
      </c>
      <c r="AU9" s="93">
        <f t="shared" ca="1" si="12"/>
        <v>85.074736586996565</v>
      </c>
      <c r="AV9" s="93">
        <f t="shared" ca="1" si="12"/>
        <v>85.305387859665259</v>
      </c>
      <c r="AW9" s="93">
        <f t="shared" ca="1" si="12"/>
        <v>85.540533980951153</v>
      </c>
      <c r="AX9" s="93">
        <f t="shared" ca="1" si="12"/>
        <v>85.78021943916994</v>
      </c>
      <c r="AY9" s="93">
        <f t="shared" ca="1" si="12"/>
        <v>86.024489308181344</v>
      </c>
      <c r="AZ9" s="93">
        <f t="shared" ca="1" si="12"/>
        <v>86.488560765995757</v>
      </c>
      <c r="BA9" s="93">
        <f t="shared" ca="1" si="12"/>
        <v>86.956878228411199</v>
      </c>
      <c r="BB9" s="93">
        <f t="shared" ca="1" si="12"/>
        <v>87.429489220439919</v>
      </c>
      <c r="BC9" s="93">
        <f t="shared" ca="1" si="12"/>
        <v>87.688866208936446</v>
      </c>
      <c r="BD9" s="93">
        <f t="shared" ca="1" si="12"/>
        <v>87.949717852833047</v>
      </c>
      <c r="BE9" s="93">
        <f t="shared" ca="1" si="12"/>
        <v>88.212051347636304</v>
      </c>
      <c r="BF9" s="103">
        <f t="shared" ca="1" si="12"/>
        <v>88.475873925008017</v>
      </c>
      <c r="BG9" s="93">
        <f t="shared" ca="1" si="12"/>
        <v>88.741192852945971</v>
      </c>
      <c r="BH9" s="93">
        <f t="shared" ca="1" si="12"/>
        <v>89.008015435965305</v>
      </c>
      <c r="BI9" s="93">
        <f t="shared" ca="1" si="12"/>
        <v>89.276349015280971</v>
      </c>
      <c r="BJ9" s="93">
        <f t="shared" ca="1" si="12"/>
        <v>89.546200968991073</v>
      </c>
      <c r="BK9" s="93">
        <f t="shared" ca="1" si="12"/>
        <v>89.81757871226111</v>
      </c>
      <c r="BL9" s="93">
        <f t="shared" ca="1" si="12"/>
        <v>90.090489697509057</v>
      </c>
      <c r="BM9" s="93">
        <f t="shared" ca="1" si="12"/>
        <v>90.36494141459157</v>
      </c>
      <c r="BN9" s="93">
        <f t="shared" ca="1" si="12"/>
        <v>90.640941390990875</v>
      </c>
      <c r="BO9" s="93">
        <f t="shared" ca="1" si="12"/>
        <v>90.918497192002874</v>
      </c>
      <c r="BP9" s="93">
        <f t="shared" ca="1" si="12"/>
        <v>91.197616420925868</v>
      </c>
      <c r="BQ9" s="93">
        <f t="shared" ca="1" si="12"/>
        <v>91.478306719250497</v>
      </c>
      <c r="BR9" s="103">
        <f t="shared" ca="1" si="12"/>
        <v>91.760575766850565</v>
      </c>
    </row>
    <row r="10" spans="1:70" s="93" customFormat="1" x14ac:dyDescent="0.3">
      <c r="A10" s="66"/>
      <c r="B10" s="97" t="s">
        <v>186</v>
      </c>
      <c r="E10" s="96">
        <f t="shared" si="5"/>
        <v>2198.5169185594978</v>
      </c>
      <c r="F10" s="96">
        <f t="shared" si="6"/>
        <v>3656.9159893662954</v>
      </c>
      <c r="G10" s="96">
        <f t="shared" si="7"/>
        <v>3603.0022929409674</v>
      </c>
      <c r="H10" s="96">
        <f t="shared" si="8"/>
        <v>4074.2231620788557</v>
      </c>
      <c r="I10" s="96">
        <f t="shared" si="9"/>
        <v>4373.39305035709</v>
      </c>
      <c r="K10" s="94">
        <f>Loans!K11</f>
        <v>37.5</v>
      </c>
      <c r="L10" s="94">
        <f>Loans!L11</f>
        <v>76.462238400620691</v>
      </c>
      <c r="M10" s="94">
        <f>Loans!M11</f>
        <v>113.62441341226801</v>
      </c>
      <c r="N10" s="94">
        <f>Loans!N11</f>
        <v>148.94974137113311</v>
      </c>
      <c r="O10" s="94">
        <f>Loans!O11</f>
        <v>170.44367362463638</v>
      </c>
      <c r="P10" s="94">
        <f>Loans!P11</f>
        <v>189.67199075114604</v>
      </c>
      <c r="Q10" s="94">
        <f>Loans!Q11</f>
        <v>207.73129704976262</v>
      </c>
      <c r="R10" s="94">
        <f>Loans!R11</f>
        <v>224.59803255192301</v>
      </c>
      <c r="S10" s="94">
        <f>Loans!S11</f>
        <v>240.24824824851356</v>
      </c>
      <c r="T10" s="94">
        <f>Loans!T11</f>
        <v>252.47861964335578</v>
      </c>
      <c r="U10" s="94">
        <f>Loans!U11</f>
        <v>263.50462625536557</v>
      </c>
      <c r="V10" s="96">
        <f>Loans!V11</f>
        <v>273.30403725077269</v>
      </c>
      <c r="W10" s="94">
        <f>Loans!W11</f>
        <v>281.85428420312473</v>
      </c>
      <c r="X10" s="94">
        <f>Loans!X11</f>
        <v>289.88224795571864</v>
      </c>
      <c r="Y10" s="94">
        <f>Loans!Y11</f>
        <v>296.58543636267655</v>
      </c>
      <c r="Z10" s="94">
        <f>Loans!Z11</f>
        <v>301.93894370825529</v>
      </c>
      <c r="AA10" s="94">
        <f>Loans!AA11</f>
        <v>305.91747378228831</v>
      </c>
      <c r="AB10" s="94">
        <f>Loans!AB11</f>
        <v>308.49533408011831</v>
      </c>
      <c r="AC10" s="94">
        <f>Loans!AC11</f>
        <v>309.64642991783063</v>
      </c>
      <c r="AD10" s="94">
        <f>Loans!AD11</f>
        <v>310.75285568673746</v>
      </c>
      <c r="AE10" s="94">
        <f>Loans!AE11</f>
        <v>311.56803934558275</v>
      </c>
      <c r="AF10" s="94">
        <f>Loans!AF11</f>
        <v>312.45001240131108</v>
      </c>
      <c r="AG10" s="94">
        <f>Loans!AG11</f>
        <v>313.40112934838544</v>
      </c>
      <c r="AH10" s="96">
        <f>Loans!AH11</f>
        <v>314.42380257426601</v>
      </c>
      <c r="AI10" s="94">
        <f>Loans!AI11</f>
        <v>315.52050357237999</v>
      </c>
      <c r="AJ10" s="94">
        <f>Loans!AJ11</f>
        <v>273.03393472194898</v>
      </c>
      <c r="AK10" s="94">
        <f>Loans!AK11</f>
        <v>276.44055605552995</v>
      </c>
      <c r="AL10" s="94">
        <f>Loans!AL11</f>
        <v>279.95722707896812</v>
      </c>
      <c r="AM10" s="94">
        <f>Loans!AM11</f>
        <v>283.76472688294217</v>
      </c>
      <c r="AN10" s="94">
        <f>Loans!AN11</f>
        <v>301.55803906948341</v>
      </c>
      <c r="AO10" s="94">
        <f>Loans!AO11</f>
        <v>304.53223470082537</v>
      </c>
      <c r="AP10" s="94">
        <f>Loans!AP11</f>
        <v>307.53244072653348</v>
      </c>
      <c r="AQ10" s="94">
        <f>Loans!AQ11</f>
        <v>310.55895759875244</v>
      </c>
      <c r="AR10" s="94">
        <f>Loans!AR11</f>
        <v>313.61208971588445</v>
      </c>
      <c r="AS10" s="94">
        <f>Loans!AS11</f>
        <v>316.69214547752705</v>
      </c>
      <c r="AT10" s="96">
        <f>Loans!AT11</f>
        <v>319.7994373401927</v>
      </c>
      <c r="AU10" s="94">
        <f>Loans!AU11</f>
        <v>322.93428187382165</v>
      </c>
      <c r="AV10" s="94">
        <f>Loans!AV11</f>
        <v>326.09699981909807</v>
      </c>
      <c r="AW10" s="94">
        <f>Loans!AW11</f>
        <v>329.28791614558332</v>
      </c>
      <c r="AX10" s="94">
        <f>Loans!AX11</f>
        <v>332.50736011067534</v>
      </c>
      <c r="AY10" s="94">
        <f>Loans!AY11</f>
        <v>335.75566531940854</v>
      </c>
      <c r="AZ10" s="94">
        <f>Loans!AZ11</f>
        <v>339.03316978510475</v>
      </c>
      <c r="BA10" s="94">
        <f>Loans!BA11</f>
        <v>342.34021599088766</v>
      </c>
      <c r="BB10" s="94">
        <f>Loans!BB11</f>
        <v>345.67715095207302</v>
      </c>
      <c r="BC10" s="94">
        <f>Loans!BC11</f>
        <v>347.53240828779747</v>
      </c>
      <c r="BD10" s="94">
        <f>Loans!BD11</f>
        <v>349.27007032923643</v>
      </c>
      <c r="BE10" s="94">
        <f>Loans!BE11</f>
        <v>351.01642068088262</v>
      </c>
      <c r="BF10" s="96">
        <f>Loans!BF11</f>
        <v>352.77150278428695</v>
      </c>
      <c r="BG10" s="94">
        <f>Loans!BG11</f>
        <v>354.53536029820833</v>
      </c>
      <c r="BH10" s="94">
        <f>Loans!BH11</f>
        <v>356.30803709969933</v>
      </c>
      <c r="BI10" s="94">
        <f>Loans!BI11</f>
        <v>358.08957728519783</v>
      </c>
      <c r="BJ10" s="94">
        <f>Loans!BJ11</f>
        <v>359.88002517162374</v>
      </c>
      <c r="BK10" s="94">
        <f>Loans!BK11</f>
        <v>361.67942529748183</v>
      </c>
      <c r="BL10" s="94">
        <f>Loans!BL11</f>
        <v>363.48782242396925</v>
      </c>
      <c r="BM10" s="94">
        <f>Loans!BM11</f>
        <v>365.30526153608906</v>
      </c>
      <c r="BN10" s="94">
        <f>Loans!BN11</f>
        <v>367.13178784376942</v>
      </c>
      <c r="BO10" s="94">
        <f>Loans!BO11</f>
        <v>368.96744678298819</v>
      </c>
      <c r="BP10" s="94">
        <f>Loans!BP11</f>
        <v>370.81228401690305</v>
      </c>
      <c r="BQ10" s="94">
        <f>Loans!BQ11</f>
        <v>372.66634543698757</v>
      </c>
      <c r="BR10" s="96">
        <f>Loans!BR11</f>
        <v>374.52967716417248</v>
      </c>
    </row>
    <row r="11" spans="1:70" s="105" customFormat="1" x14ac:dyDescent="0.3">
      <c r="A11" s="6"/>
      <c r="B11" s="184" t="s">
        <v>196</v>
      </c>
      <c r="C11" s="94"/>
      <c r="D11" s="94"/>
      <c r="E11" s="122">
        <f t="shared" ca="1" si="5"/>
        <v>-581.20022583617526</v>
      </c>
      <c r="F11" s="122">
        <f t="shared" ca="1" si="6"/>
        <v>-1061.7388980398857</v>
      </c>
      <c r="G11" s="122">
        <f t="shared" ca="1" si="7"/>
        <v>-1055.498573575946</v>
      </c>
      <c r="H11" s="122">
        <f t="shared" ca="1" si="8"/>
        <v>-1020.5568722534771</v>
      </c>
      <c r="I11" s="122">
        <f t="shared" ca="1" si="9"/>
        <v>-981.52052261371819</v>
      </c>
      <c r="J11" s="94"/>
      <c r="K11" s="123">
        <f>Credit!K18</f>
        <v>0</v>
      </c>
      <c r="L11" s="123">
        <f ca="1">Credit!L18</f>
        <v>-12.773244776310785</v>
      </c>
      <c r="M11" s="123">
        <f ca="1">Credit!M18</f>
        <v>-25.003486575230486</v>
      </c>
      <c r="N11" s="123">
        <f ca="1">Credit!N18</f>
        <v>-36.570872337623243</v>
      </c>
      <c r="O11" s="123">
        <f ca="1">Credit!O18</f>
        <v>-44.481840906234858</v>
      </c>
      <c r="P11" s="123">
        <f ca="1">Credit!P18</f>
        <v>-50.596177804783686</v>
      </c>
      <c r="Q11" s="123">
        <f ca="1">Credit!Q18</f>
        <v>-56.889700949752289</v>
      </c>
      <c r="R11" s="123">
        <f ca="1">Credit!R18</f>
        <v>-62.152484627798422</v>
      </c>
      <c r="S11" s="123">
        <f ca="1">Credit!S18</f>
        <v>-67.211217267734568</v>
      </c>
      <c r="T11" s="123">
        <f ca="1">Credit!T18</f>
        <v>-71.420912889953769</v>
      </c>
      <c r="U11" s="123">
        <f ca="1">Credit!U18</f>
        <v>-75.311797840199304</v>
      </c>
      <c r="V11" s="122">
        <f ca="1">Credit!V18</f>
        <v>-78.788489860553895</v>
      </c>
      <c r="W11" s="123">
        <f ca="1">Credit!W18</f>
        <v>-81.634281525563338</v>
      </c>
      <c r="X11" s="123">
        <f ca="1">Credit!X18</f>
        <v>-84.234204149726139</v>
      </c>
      <c r="Y11" s="123">
        <f ca="1">Credit!Y18</f>
        <v>-86.361207711334885</v>
      </c>
      <c r="Z11" s="123">
        <f ca="1">Credit!Z18</f>
        <v>-88.089539700563236</v>
      </c>
      <c r="AA11" s="123">
        <f ca="1">Credit!AA18</f>
        <v>-89.334274326630933</v>
      </c>
      <c r="AB11" s="123">
        <f ca="1">Credit!AB18</f>
        <v>-90.089795360729951</v>
      </c>
      <c r="AC11" s="123">
        <f ca="1">Credit!AC18</f>
        <v>-90.966937234693034</v>
      </c>
      <c r="AD11" s="123">
        <f ca="1">Credit!AD18</f>
        <v>-91.24800586713468</v>
      </c>
      <c r="AE11" s="123">
        <f ca="1">Credit!AE18</f>
        <v>-90.256550013419357</v>
      </c>
      <c r="AF11" s="123">
        <f ca="1">Credit!AF18</f>
        <v>-90.052998806602361</v>
      </c>
      <c r="AG11" s="123">
        <f ca="1">Credit!AG18</f>
        <v>-89.843365420805284</v>
      </c>
      <c r="AH11" s="122">
        <f ca="1">Credit!AH18</f>
        <v>-89.627737922682627</v>
      </c>
      <c r="AI11" s="123">
        <f ca="1">Credit!AI18</f>
        <v>-89.40620887861121</v>
      </c>
      <c r="AJ11" s="123">
        <f ca="1">Credit!AJ18</f>
        <v>-89.17887546967728</v>
      </c>
      <c r="AK11" s="123">
        <f ca="1">Credit!AK18</f>
        <v>-88.856259280582677</v>
      </c>
      <c r="AL11" s="123">
        <f ca="1">Credit!AL18</f>
        <v>-88.532551961513278</v>
      </c>
      <c r="AM11" s="123">
        <f ca="1">Credit!AM18</f>
        <v>-88.207918919999258</v>
      </c>
      <c r="AN11" s="123">
        <f ca="1">Credit!AN18</f>
        <v>-88.230856464733634</v>
      </c>
      <c r="AO11" s="123">
        <f ca="1">Credit!AO18</f>
        <v>-87.934652139154025</v>
      </c>
      <c r="AP11" s="123">
        <f ca="1">Credit!AP18</f>
        <v>-87.636199517924112</v>
      </c>
      <c r="AQ11" s="123">
        <f ca="1">Credit!AQ18</f>
        <v>-87.335491170906309</v>
      </c>
      <c r="AR11" s="123">
        <f ca="1">Credit!AR18</f>
        <v>-87.032519906633169</v>
      </c>
      <c r="AS11" s="123">
        <f ca="1">Credit!AS18</f>
        <v>-86.72727877802258</v>
      </c>
      <c r="AT11" s="122">
        <f ca="1">Credit!AT18</f>
        <v>-86.419761088188622</v>
      </c>
      <c r="AU11" s="123">
        <f ca="1">Credit!AU18</f>
        <v>-86.10996039634982</v>
      </c>
      <c r="AV11" s="123">
        <f ca="1">Credit!AV18</f>
        <v>-85.797870523836238</v>
      </c>
      <c r="AW11" s="123">
        <f ca="1">Credit!AW18</f>
        <v>-85.483485560196712</v>
      </c>
      <c r="AX11" s="123">
        <f ca="1">Credit!AX18</f>
        <v>-85.166799869408024</v>
      </c>
      <c r="AY11" s="123">
        <f ca="1">Credit!AY18</f>
        <v>-84.831558096187294</v>
      </c>
      <c r="AZ11" s="123">
        <f ca="1">Credit!AZ18</f>
        <v>-84.510202359909428</v>
      </c>
      <c r="BA11" s="123">
        <f ca="1">Credit!BA18</f>
        <v>-84.752212427013475</v>
      </c>
      <c r="BB11" s="123">
        <f ca="1">Credit!BB18</f>
        <v>-84.992256481758815</v>
      </c>
      <c r="BC11" s="123">
        <f ca="1">Credit!BC18</f>
        <v>-85.23033391096024</v>
      </c>
      <c r="BD11" s="123">
        <f ca="1">Credit!BD18</f>
        <v>-84.899355750930567</v>
      </c>
      <c r="BE11" s="123">
        <f ca="1">Credit!BE18</f>
        <v>-84.562653966676223</v>
      </c>
      <c r="BF11" s="122">
        <f ca="1">Credit!BF18</f>
        <v>-84.220182910250386</v>
      </c>
      <c r="BG11" s="123">
        <f ca="1">Credit!BG18</f>
        <v>-83.871896646915445</v>
      </c>
      <c r="BH11" s="123">
        <f ca="1">Credit!BH18</f>
        <v>-83.517748953512893</v>
      </c>
      <c r="BI11" s="123">
        <f ca="1">Credit!BI18</f>
        <v>-83.157693316824336</v>
      </c>
      <c r="BJ11" s="123">
        <f ca="1">Credit!BJ18</f>
        <v>-82.791682931923702</v>
      </c>
      <c r="BK11" s="123">
        <f ca="1">Credit!BK18</f>
        <v>-82.419670700520513</v>
      </c>
      <c r="BL11" s="123">
        <f ca="1">Credit!BL18</f>
        <v>-82.041609229294252</v>
      </c>
      <c r="BM11" s="123">
        <f ca="1">Credit!BM18</f>
        <v>-81.657450828219837</v>
      </c>
      <c r="BN11" s="123">
        <f ca="1">Credit!BN18</f>
        <v>-81.218397508883825</v>
      </c>
      <c r="BO11" s="123">
        <f ca="1">Credit!BO18</f>
        <v>-80.821742545291855</v>
      </c>
      <c r="BP11" s="123">
        <f ca="1">Credit!BP18</f>
        <v>-80.418845269744864</v>
      </c>
      <c r="BQ11" s="123">
        <f ca="1">Credit!BQ18</f>
        <v>-80.009656786798359</v>
      </c>
      <c r="BR11" s="122">
        <f ca="1">Credit!BR18</f>
        <v>-79.594127895788333</v>
      </c>
    </row>
    <row r="12" spans="1:70" s="94" customFormat="1" x14ac:dyDescent="0.3">
      <c r="A12" s="164"/>
      <c r="B12" s="259" t="s">
        <v>104</v>
      </c>
      <c r="C12" s="93"/>
      <c r="D12" s="93"/>
      <c r="E12" s="94">
        <f t="shared" ca="1" si="5"/>
        <v>1617.3166927233224</v>
      </c>
      <c r="F12" s="94">
        <f t="shared" ca="1" si="6"/>
        <v>2595.1770913264095</v>
      </c>
      <c r="G12" s="94">
        <f t="shared" ca="1" si="7"/>
        <v>2547.5037193650219</v>
      </c>
      <c r="H12" s="94">
        <f t="shared" ca="1" si="8"/>
        <v>3053.666289825378</v>
      </c>
      <c r="I12" s="94">
        <f t="shared" ca="1" si="9"/>
        <v>3391.8725277433718</v>
      </c>
      <c r="J12" s="93"/>
      <c r="K12" s="93">
        <f>SUM(K10:K11)</f>
        <v>37.5</v>
      </c>
      <c r="L12" s="93">
        <f ca="1">SUM(L10:L11)</f>
        <v>63.688993624309909</v>
      </c>
      <c r="M12" s="93">
        <f t="shared" ref="M12:BR12" ca="1" si="13">SUM(M10:M11)</f>
        <v>88.62092683703753</v>
      </c>
      <c r="N12" s="93">
        <f t="shared" ca="1" si="13"/>
        <v>112.37886903350987</v>
      </c>
      <c r="O12" s="93">
        <f t="shared" ca="1" si="13"/>
        <v>125.96183271840152</v>
      </c>
      <c r="P12" s="93">
        <f t="shared" ca="1" si="13"/>
        <v>139.07581294636236</v>
      </c>
      <c r="Q12" s="93">
        <f t="shared" ca="1" si="13"/>
        <v>150.84159610001032</v>
      </c>
      <c r="R12" s="93">
        <f t="shared" ca="1" si="13"/>
        <v>162.44554792412458</v>
      </c>
      <c r="S12" s="93">
        <f t="shared" ca="1" si="13"/>
        <v>173.03703098077898</v>
      </c>
      <c r="T12" s="93">
        <f t="shared" ca="1" si="13"/>
        <v>181.05770675340202</v>
      </c>
      <c r="U12" s="93">
        <f t="shared" ca="1" si="13"/>
        <v>188.19282841516628</v>
      </c>
      <c r="V12" s="103">
        <f t="shared" ca="1" si="13"/>
        <v>194.51554739021879</v>
      </c>
      <c r="W12" s="93">
        <f t="shared" ca="1" si="13"/>
        <v>200.22000267756141</v>
      </c>
      <c r="X12" s="93">
        <f t="shared" ca="1" si="13"/>
        <v>205.6480438059925</v>
      </c>
      <c r="Y12" s="93">
        <f t="shared" ca="1" si="13"/>
        <v>210.22422865134166</v>
      </c>
      <c r="Z12" s="93">
        <f t="shared" ca="1" si="13"/>
        <v>213.84940400769204</v>
      </c>
      <c r="AA12" s="93">
        <f t="shared" ca="1" si="13"/>
        <v>216.58319945565739</v>
      </c>
      <c r="AB12" s="93">
        <f t="shared" ca="1" si="13"/>
        <v>218.40553871938835</v>
      </c>
      <c r="AC12" s="93">
        <f t="shared" ca="1" si="13"/>
        <v>218.6794926831376</v>
      </c>
      <c r="AD12" s="93">
        <f t="shared" ca="1" si="13"/>
        <v>219.50484981960278</v>
      </c>
      <c r="AE12" s="93">
        <f t="shared" ca="1" si="13"/>
        <v>221.31148933216338</v>
      </c>
      <c r="AF12" s="93">
        <f t="shared" ca="1" si="13"/>
        <v>222.39701359470871</v>
      </c>
      <c r="AG12" s="93">
        <f t="shared" ca="1" si="13"/>
        <v>223.55776392758014</v>
      </c>
      <c r="AH12" s="103">
        <f t="shared" ca="1" si="13"/>
        <v>224.79606465158338</v>
      </c>
      <c r="AI12" s="93">
        <f t="shared" ca="1" si="13"/>
        <v>226.11429469376878</v>
      </c>
      <c r="AJ12" s="93">
        <f t="shared" ca="1" si="13"/>
        <v>183.8550592522717</v>
      </c>
      <c r="AK12" s="93">
        <f t="shared" ca="1" si="13"/>
        <v>187.58429677494729</v>
      </c>
      <c r="AL12" s="93">
        <f t="shared" ca="1" si="13"/>
        <v>191.42467511745485</v>
      </c>
      <c r="AM12" s="93">
        <f t="shared" ca="1" si="13"/>
        <v>195.55680796294291</v>
      </c>
      <c r="AN12" s="93">
        <f t="shared" ca="1" si="13"/>
        <v>213.32718260474979</v>
      </c>
      <c r="AO12" s="93">
        <f t="shared" ca="1" si="13"/>
        <v>216.59758256167135</v>
      </c>
      <c r="AP12" s="93">
        <f t="shared" ca="1" si="13"/>
        <v>219.89624120860935</v>
      </c>
      <c r="AQ12" s="93">
        <f t="shared" ca="1" si="13"/>
        <v>223.22346642784612</v>
      </c>
      <c r="AR12" s="93">
        <f t="shared" ca="1" si="13"/>
        <v>226.57956980925127</v>
      </c>
      <c r="AS12" s="93">
        <f t="shared" ca="1" si="13"/>
        <v>229.96486669950446</v>
      </c>
      <c r="AT12" s="103">
        <f t="shared" ca="1" si="13"/>
        <v>233.37967625200406</v>
      </c>
      <c r="AU12" s="93">
        <f t="shared" ca="1" si="13"/>
        <v>236.82432147747181</v>
      </c>
      <c r="AV12" s="93">
        <f t="shared" ca="1" si="13"/>
        <v>240.29912929526182</v>
      </c>
      <c r="AW12" s="93">
        <f t="shared" ca="1" si="13"/>
        <v>243.80443058538663</v>
      </c>
      <c r="AX12" s="93">
        <f t="shared" ca="1" si="13"/>
        <v>247.34056024126733</v>
      </c>
      <c r="AY12" s="93">
        <f t="shared" ca="1" si="13"/>
        <v>250.92410722322126</v>
      </c>
      <c r="AZ12" s="93">
        <f t="shared" ca="1" si="13"/>
        <v>254.5229674251953</v>
      </c>
      <c r="BA12" s="93">
        <f t="shared" ca="1" si="13"/>
        <v>257.58800356387417</v>
      </c>
      <c r="BB12" s="93">
        <f t="shared" ca="1" si="13"/>
        <v>260.68489447031419</v>
      </c>
      <c r="BC12" s="93">
        <f t="shared" ca="1" si="13"/>
        <v>262.30207437683725</v>
      </c>
      <c r="BD12" s="93">
        <f t="shared" ca="1" si="13"/>
        <v>264.37071457830586</v>
      </c>
      <c r="BE12" s="93">
        <f t="shared" ca="1" si="13"/>
        <v>266.45376671420638</v>
      </c>
      <c r="BF12" s="103">
        <f t="shared" ca="1" si="13"/>
        <v>268.55131987403655</v>
      </c>
      <c r="BG12" s="93">
        <f t="shared" ca="1" si="13"/>
        <v>270.66346365129289</v>
      </c>
      <c r="BH12" s="93">
        <f t="shared" ca="1" si="13"/>
        <v>272.79028814618641</v>
      </c>
      <c r="BI12" s="93">
        <f t="shared" ca="1" si="13"/>
        <v>274.93188396837348</v>
      </c>
      <c r="BJ12" s="93">
        <f t="shared" ca="1" si="13"/>
        <v>277.08834223970007</v>
      </c>
      <c r="BK12" s="93">
        <f t="shared" ca="1" si="13"/>
        <v>279.25975459696133</v>
      </c>
      <c r="BL12" s="93">
        <f t="shared" ca="1" si="13"/>
        <v>281.44621319467501</v>
      </c>
      <c r="BM12" s="93">
        <f t="shared" ca="1" si="13"/>
        <v>283.64781070786921</v>
      </c>
      <c r="BN12" s="93">
        <f t="shared" ca="1" si="13"/>
        <v>285.91339033488561</v>
      </c>
      <c r="BO12" s="93">
        <f t="shared" ca="1" si="13"/>
        <v>288.14570423769635</v>
      </c>
      <c r="BP12" s="93">
        <f t="shared" ca="1" si="13"/>
        <v>290.3934387471582</v>
      </c>
      <c r="BQ12" s="93">
        <f t="shared" ca="1" si="13"/>
        <v>292.65668865018921</v>
      </c>
      <c r="BR12" s="103">
        <f t="shared" ca="1" si="13"/>
        <v>294.93554926838414</v>
      </c>
    </row>
    <row r="13" spans="1:70" s="94" customFormat="1" x14ac:dyDescent="0.3">
      <c r="A13" s="164"/>
      <c r="B13" s="263" t="s">
        <v>105</v>
      </c>
      <c r="C13" s="93"/>
      <c r="D13" s="93"/>
      <c r="E13" s="113">
        <f t="shared" ca="1" si="5"/>
        <v>184.07211770393707</v>
      </c>
      <c r="F13" s="113">
        <f t="shared" ca="1" si="6"/>
        <v>257.78795167605654</v>
      </c>
      <c r="G13" s="113">
        <f t="shared" ca="1" si="7"/>
        <v>272.07174145068188</v>
      </c>
      <c r="H13" s="113">
        <f t="shared" ca="1" si="8"/>
        <v>290.56820991962945</v>
      </c>
      <c r="I13" s="113">
        <f t="shared" ca="1" si="9"/>
        <v>308.48982130485638</v>
      </c>
      <c r="J13" s="93"/>
      <c r="K13" s="99">
        <f ca="1">Loans!K16</f>
        <v>0</v>
      </c>
      <c r="L13" s="99">
        <f ca="1">Loans!L16</f>
        <v>0</v>
      </c>
      <c r="M13" s="99">
        <f ca="1">Loans!M16</f>
        <v>0</v>
      </c>
      <c r="N13" s="99">
        <f ca="1">Loans!N16</f>
        <v>19.94115658787635</v>
      </c>
      <c r="O13" s="99">
        <f ca="1">Loans!O16</f>
        <v>20.160019653686291</v>
      </c>
      <c r="P13" s="99">
        <f ca="1">Loans!P16</f>
        <v>20.26081975195472</v>
      </c>
      <c r="Q13" s="99">
        <f ca="1">Loans!Q16</f>
        <v>20.362123850714497</v>
      </c>
      <c r="R13" s="99">
        <f ca="1">Loans!R16</f>
        <v>20.463934469968059</v>
      </c>
      <c r="S13" s="99">
        <f ca="1">Loans!S16</f>
        <v>20.566254142317902</v>
      </c>
      <c r="T13" s="99">
        <f ca="1">Loans!T16</f>
        <v>20.669085413029485</v>
      </c>
      <c r="U13" s="99">
        <f ca="1">Loans!U16</f>
        <v>20.772430840094632</v>
      </c>
      <c r="V13" s="100">
        <f ca="1">Loans!V16</f>
        <v>20.876292994295103</v>
      </c>
      <c r="W13" s="99">
        <f ca="1">Loans!W16</f>
        <v>20.897948863879353</v>
      </c>
      <c r="X13" s="99">
        <f ca="1">Loans!X16</f>
        <v>21.002438608198755</v>
      </c>
      <c r="Y13" s="99">
        <f ca="1">Loans!Y16</f>
        <v>21.107450801239743</v>
      </c>
      <c r="Z13" s="99">
        <f ca="1">Loans!Z16</f>
        <v>21.212988055245937</v>
      </c>
      <c r="AA13" s="99">
        <f ca="1">Loans!AA16</f>
        <v>21.319052995522171</v>
      </c>
      <c r="AB13" s="99">
        <f ca="1">Loans!AB16</f>
        <v>21.425648260499774</v>
      </c>
      <c r="AC13" s="99">
        <f ca="1">Loans!AC16</f>
        <v>21.532776501802275</v>
      </c>
      <c r="AD13" s="99">
        <f ca="1">Loans!AD16</f>
        <v>21.640440384311276</v>
      </c>
      <c r="AE13" s="99">
        <f ca="1">Loans!AE16</f>
        <v>21.748642586232833</v>
      </c>
      <c r="AF13" s="99">
        <f ca="1">Loans!AF16</f>
        <v>21.857385799163993</v>
      </c>
      <c r="AG13" s="99">
        <f ca="1">Loans!AG16</f>
        <v>21.966672728159814</v>
      </c>
      <c r="AH13" s="100">
        <f ca="1">Loans!AH16</f>
        <v>22.07650609180061</v>
      </c>
      <c r="AI13" s="99">
        <f ca="1">Loans!AI16</f>
        <v>22.186888622259605</v>
      </c>
      <c r="AJ13" s="99">
        <f ca="1">Loans!AJ16</f>
        <v>22.297823065370903</v>
      </c>
      <c r="AK13" s="99">
        <f ca="1">Loans!AK16</f>
        <v>22.409312180697761</v>
      </c>
      <c r="AL13" s="99">
        <f ca="1">Loans!AL16</f>
        <v>22.521358741601247</v>
      </c>
      <c r="AM13" s="99">
        <f ca="1">Loans!AM16</f>
        <v>21.017958525524406</v>
      </c>
      <c r="AN13" s="99">
        <f ca="1">Loans!AN16</f>
        <v>22.747135362985794</v>
      </c>
      <c r="AO13" s="99">
        <f ca="1">Loans!AO16</f>
        <v>22.860871039800717</v>
      </c>
      <c r="AP13" s="99">
        <f ca="1">Loans!AP16</f>
        <v>22.975175394999724</v>
      </c>
      <c r="AQ13" s="99">
        <f ca="1">Loans!AQ16</f>
        <v>23.090051271974719</v>
      </c>
      <c r="AR13" s="99">
        <f ca="1">Loans!AR16</f>
        <v>23.20550152833459</v>
      </c>
      <c r="AS13" s="99">
        <f ca="1">Loans!AS16</f>
        <v>23.321529035976255</v>
      </c>
      <c r="AT13" s="100">
        <f ca="1">Loans!AT16</f>
        <v>23.438136681156138</v>
      </c>
      <c r="AU13" s="99">
        <f ca="1">Loans!AU16</f>
        <v>23.555327364561915</v>
      </c>
      <c r="AV13" s="99">
        <f ca="1">Loans!AV16</f>
        <v>23.673104001384718</v>
      </c>
      <c r="AW13" s="99">
        <f ca="1">Loans!AW16</f>
        <v>23.791469521391644</v>
      </c>
      <c r="AX13" s="99">
        <f ca="1">Loans!AX16</f>
        <v>23.910426868998599</v>
      </c>
      <c r="AY13" s="99">
        <f ca="1">Loans!AY16</f>
        <v>24.029979003343591</v>
      </c>
      <c r="AZ13" s="99">
        <f ca="1">Loans!AZ16</f>
        <v>24.150128898360308</v>
      </c>
      <c r="BA13" s="99">
        <f ca="1">Loans!BA16</f>
        <v>24.270879542852107</v>
      </c>
      <c r="BB13" s="99">
        <f ca="1">Loans!BB16</f>
        <v>24.392233940566364</v>
      </c>
      <c r="BC13" s="99">
        <f ca="1">Loans!BC16</f>
        <v>24.514195110269192</v>
      </c>
      <c r="BD13" s="99">
        <f ca="1">Loans!BD16</f>
        <v>24.63676608582054</v>
      </c>
      <c r="BE13" s="99">
        <f ca="1">Loans!BE16</f>
        <v>24.759949916249635</v>
      </c>
      <c r="BF13" s="100">
        <f ca="1">Loans!BF16</f>
        <v>24.883749665830884</v>
      </c>
      <c r="BG13" s="99">
        <f ca="1">Loans!BG16</f>
        <v>25.008168414160028</v>
      </c>
      <c r="BH13" s="99">
        <f ca="1">Loans!BH16</f>
        <v>25.133209256230828</v>
      </c>
      <c r="BI13" s="99">
        <f ca="1">Loans!BI16</f>
        <v>25.258875302511985</v>
      </c>
      <c r="BJ13" s="99">
        <f ca="1">Loans!BJ16</f>
        <v>25.385169679024543</v>
      </c>
      <c r="BK13" s="99">
        <f ca="1">Loans!BK16</f>
        <v>25.512095527419653</v>
      </c>
      <c r="BL13" s="99">
        <f ca="1">Loans!BL16</f>
        <v>25.63965600505675</v>
      </c>
      <c r="BM13" s="99">
        <f ca="1">Loans!BM16</f>
        <v>25.767854285082024</v>
      </c>
      <c r="BN13" s="99">
        <f ca="1">Loans!BN16</f>
        <v>25.896693556507444</v>
      </c>
      <c r="BO13" s="99">
        <f ca="1">Loans!BO16</f>
        <v>26.026177024289975</v>
      </c>
      <c r="BP13" s="99">
        <f ca="1">Loans!BP16</f>
        <v>26.156307909411424</v>
      </c>
      <c r="BQ13" s="99">
        <f ca="1">Loans!BQ16</f>
        <v>26.287089448958469</v>
      </c>
      <c r="BR13" s="100">
        <f ca="1">Loans!BR16</f>
        <v>26.418524896203266</v>
      </c>
    </row>
    <row r="14" spans="1:70" s="103" customFormat="1" x14ac:dyDescent="0.3">
      <c r="A14" s="14"/>
      <c r="B14" s="101" t="s">
        <v>106</v>
      </c>
      <c r="C14" s="102"/>
      <c r="D14" s="102"/>
      <c r="E14" s="103">
        <f t="shared" ca="1" si="5"/>
        <v>2571.0346549644273</v>
      </c>
      <c r="F14" s="103">
        <f t="shared" ca="1" si="6"/>
        <v>3818.8744163782635</v>
      </c>
      <c r="G14" s="103">
        <f t="shared" ca="1" si="7"/>
        <v>3823.8521377634497</v>
      </c>
      <c r="H14" s="103">
        <f t="shared" ca="1" si="8"/>
        <v>4385.1613044692331</v>
      </c>
      <c r="I14" s="103">
        <f t="shared" ca="1" si="9"/>
        <v>4783.2030546357946</v>
      </c>
      <c r="J14" s="102"/>
      <c r="K14" s="93">
        <f ca="1">SUM(K9,K12,K13)</f>
        <v>84.790562516933718</v>
      </c>
      <c r="L14" s="93">
        <f ca="1">SUM(L9,L12,L13)</f>
        <v>115.7586108351031</v>
      </c>
      <c r="M14" s="93">
        <f t="shared" ref="M14:X14" ca="1" si="14">SUM(M9,M12,M13)</f>
        <v>145.24207970886022</v>
      </c>
      <c r="N14" s="93">
        <f ca="1">SUM(N9,N12,N13)</f>
        <v>191.65196432673716</v>
      </c>
      <c r="O14" s="93">
        <f t="shared" ca="1" si="14"/>
        <v>208.01569372888287</v>
      </c>
      <c r="P14" s="93">
        <f t="shared" ca="1" si="14"/>
        <v>223.64793008709864</v>
      </c>
      <c r="Q14" s="93">
        <f t="shared" ca="1" si="14"/>
        <v>237.78510243372563</v>
      </c>
      <c r="R14" s="93">
        <f t="shared" ca="1" si="14"/>
        <v>251.61060637860285</v>
      </c>
      <c r="S14" s="93">
        <f t="shared" ca="1" si="14"/>
        <v>264.27078527005261</v>
      </c>
      <c r="T14" s="93">
        <f t="shared" ca="1" si="14"/>
        <v>274.19983725555346</v>
      </c>
      <c r="U14" s="93">
        <f t="shared" ca="1" si="14"/>
        <v>283.08002373035555</v>
      </c>
      <c r="V14" s="102">
        <f ca="1">SUM(V9,V12,V13)</f>
        <v>290.98145869252158</v>
      </c>
      <c r="W14" s="93">
        <f t="shared" ca="1" si="14"/>
        <v>298.01914501543638</v>
      </c>
      <c r="X14" s="93">
        <f t="shared" ca="1" si="14"/>
        <v>304.69170467175002</v>
      </c>
      <c r="Y14" s="93">
        <f t="shared" ref="Y14:BR14" ca="1" si="15">SUM(Y9,Y12,Y13)</f>
        <v>310.33814242303725</v>
      </c>
      <c r="Z14" s="93">
        <f t="shared" ca="1" si="15"/>
        <v>314.85601510400494</v>
      </c>
      <c r="AA14" s="93">
        <f t="shared" ca="1" si="15"/>
        <v>318.30161070965721</v>
      </c>
      <c r="AB14" s="93">
        <f t="shared" ca="1" si="15"/>
        <v>320.65145898541385</v>
      </c>
      <c r="AC14" s="93">
        <f t="shared" ca="1" si="15"/>
        <v>321.45475130461398</v>
      </c>
      <c r="AD14" s="93">
        <f t="shared" ca="1" si="15"/>
        <v>322.62066892613251</v>
      </c>
      <c r="AE14" s="93">
        <f t="shared" ca="1" si="15"/>
        <v>324.76825557106378</v>
      </c>
      <c r="AF14" s="93">
        <f t="shared" ca="1" si="15"/>
        <v>326.19524333487027</v>
      </c>
      <c r="AG14" s="93">
        <f t="shared" ca="1" si="15"/>
        <v>327.69810785505746</v>
      </c>
      <c r="AH14" s="102">
        <f t="shared" ca="1" si="15"/>
        <v>329.27931247722563</v>
      </c>
      <c r="AI14" s="93">
        <f t="shared" ca="1" si="15"/>
        <v>330.94137997522512</v>
      </c>
      <c r="AJ14" s="93">
        <f t="shared" ca="1" si="15"/>
        <v>288.93901701001181</v>
      </c>
      <c r="AK14" s="93">
        <f t="shared" ca="1" si="15"/>
        <v>292.93079556181704</v>
      </c>
      <c r="AL14" s="93">
        <f t="shared" ca="1" si="15"/>
        <v>297.03959502831657</v>
      </c>
      <c r="AM14" s="93">
        <f t="shared" ca="1" si="15"/>
        <v>299.96095585968925</v>
      </c>
      <c r="AN14" s="93">
        <f t="shared" ca="1" si="15"/>
        <v>319.65673371849618</v>
      </c>
      <c r="AO14" s="93">
        <f t="shared" ca="1" si="15"/>
        <v>323.24125481919896</v>
      </c>
      <c r="AP14" s="93">
        <f t="shared" ca="1" si="15"/>
        <v>326.85880245770079</v>
      </c>
      <c r="AQ14" s="93">
        <f t="shared" ca="1" si="15"/>
        <v>330.50972796641065</v>
      </c>
      <c r="AR14" s="93">
        <f t="shared" ca="1" si="15"/>
        <v>334.19438693153336</v>
      </c>
      <c r="AS14" s="93">
        <f t="shared" ca="1" si="15"/>
        <v>337.91313924969472</v>
      </c>
      <c r="AT14" s="102">
        <f t="shared" ca="1" si="15"/>
        <v>341.66634918535595</v>
      </c>
      <c r="AU14" s="93">
        <f t="shared" ca="1" si="15"/>
        <v>345.45438542903025</v>
      </c>
      <c r="AV14" s="93">
        <f t="shared" ca="1" si="15"/>
        <v>349.2776211563118</v>
      </c>
      <c r="AW14" s="93">
        <f t="shared" ca="1" si="15"/>
        <v>353.13643408772947</v>
      </c>
      <c r="AX14" s="93">
        <f t="shared" ca="1" si="15"/>
        <v>357.03120654943586</v>
      </c>
      <c r="AY14" s="93">
        <f t="shared" ca="1" si="15"/>
        <v>360.9785755347462</v>
      </c>
      <c r="AZ14" s="93">
        <f t="shared" ca="1" si="15"/>
        <v>365.1616570895514</v>
      </c>
      <c r="BA14" s="93">
        <f t="shared" ca="1" si="15"/>
        <v>368.81576133513749</v>
      </c>
      <c r="BB14" s="93">
        <f t="shared" ca="1" si="15"/>
        <v>372.50661763132047</v>
      </c>
      <c r="BC14" s="93">
        <f t="shared" ca="1" si="15"/>
        <v>374.50513569604294</v>
      </c>
      <c r="BD14" s="93">
        <f t="shared" ca="1" si="15"/>
        <v>376.95719851695947</v>
      </c>
      <c r="BE14" s="93">
        <f t="shared" ca="1" si="15"/>
        <v>379.42576797809232</v>
      </c>
      <c r="BF14" s="102">
        <f t="shared" ca="1" si="15"/>
        <v>381.9109434648754</v>
      </c>
      <c r="BG14" s="93">
        <f t="shared" ca="1" si="15"/>
        <v>384.41282491839888</v>
      </c>
      <c r="BH14" s="93">
        <f t="shared" ca="1" si="15"/>
        <v>386.93151283838256</v>
      </c>
      <c r="BI14" s="93">
        <f t="shared" ca="1" si="15"/>
        <v>389.46710828616642</v>
      </c>
      <c r="BJ14" s="93">
        <f t="shared" ca="1" si="15"/>
        <v>392.01971288771568</v>
      </c>
      <c r="BK14" s="93">
        <f t="shared" ca="1" si="15"/>
        <v>394.58942883664213</v>
      </c>
      <c r="BL14" s="93">
        <f t="shared" ca="1" si="15"/>
        <v>397.17635889724079</v>
      </c>
      <c r="BM14" s="93">
        <f t="shared" ca="1" si="15"/>
        <v>399.78060640754279</v>
      </c>
      <c r="BN14" s="93">
        <f t="shared" ca="1" si="15"/>
        <v>402.45102528238391</v>
      </c>
      <c r="BO14" s="93">
        <f t="shared" ca="1" si="15"/>
        <v>405.09037845398916</v>
      </c>
      <c r="BP14" s="93">
        <f t="shared" ca="1" si="15"/>
        <v>407.74736307749549</v>
      </c>
      <c r="BQ14" s="93">
        <f ca="1">SUM(BQ9,BQ12,BQ13)</f>
        <v>410.42208481839816</v>
      </c>
      <c r="BR14" s="102">
        <f t="shared" ca="1" si="15"/>
        <v>413.11464993143795</v>
      </c>
    </row>
    <row r="15" spans="1:70" s="321" customFormat="1" ht="15.6" x14ac:dyDescent="0.35">
      <c r="A15" s="233"/>
      <c r="B15" s="260" t="s">
        <v>213</v>
      </c>
      <c r="C15" s="185"/>
      <c r="D15" s="93"/>
      <c r="E15" s="117">
        <f ca="1">SUM(K15:V15)</f>
        <v>137.29757449623662</v>
      </c>
      <c r="F15" s="117">
        <f ca="1">SUM(W15:AH15)</f>
        <v>233.69868011154927</v>
      </c>
      <c r="G15" s="117">
        <f ca="1">SUM(AI15:AT15)</f>
        <v>239.97448240735184</v>
      </c>
      <c r="H15" s="117">
        <f ca="1">SUM(AU15:BF15)</f>
        <v>241.72117076947768</v>
      </c>
      <c r="I15" s="117">
        <f ca="1">SUM(BG15:BR15)</f>
        <v>245.85885092917079</v>
      </c>
      <c r="J15" s="238"/>
      <c r="K15" s="238">
        <f>Loans!K20</f>
        <v>2.5</v>
      </c>
      <c r="L15" s="238">
        <f ca="1">Loans!L20</f>
        <v>4.8879855455869681</v>
      </c>
      <c r="M15" s="238">
        <f ca="1">Loans!M20</f>
        <v>7.1649553317982839</v>
      </c>
      <c r="N15" s="238">
        <f ca="1">Loans!N20</f>
        <v>9.3286417158831565</v>
      </c>
      <c r="O15" s="238">
        <f ca="1">Loans!O20</f>
        <v>10.579093223224135</v>
      </c>
      <c r="P15" s="238">
        <f ca="1">Loans!P20</f>
        <v>11.755249660208356</v>
      </c>
      <c r="Q15" s="238">
        <f ca="1">Loans!Q20</f>
        <v>12.859308631750318</v>
      </c>
      <c r="R15" s="238">
        <f ca="1">Loans!R20</f>
        <v>13.889817707442328</v>
      </c>
      <c r="S15" s="238">
        <f ca="1">Loans!S20</f>
        <v>14.845300476522219</v>
      </c>
      <c r="T15" s="238">
        <f ca="1">Loans!T20</f>
        <v>15.724256173544317</v>
      </c>
      <c r="U15" s="238">
        <f ca="1">Loans!U20</f>
        <v>16.522980317931761</v>
      </c>
      <c r="V15" s="245">
        <f ca="1">Loans!V20</f>
        <v>17.239985712344772</v>
      </c>
      <c r="W15" s="238">
        <f ca="1">Loans!W20</f>
        <v>17.873762505635863</v>
      </c>
      <c r="X15" s="238">
        <f ca="1">Loans!X20</f>
        <v>18.426086892270426</v>
      </c>
      <c r="Y15" s="238">
        <f ca="1">Loans!Y20</f>
        <v>18.892856739720145</v>
      </c>
      <c r="Z15" s="238">
        <f ca="1">Loans!Z20</f>
        <v>19.272462148183692</v>
      </c>
      <c r="AA15" s="238">
        <f ca="1">Loans!AA20</f>
        <v>19.56326797417691</v>
      </c>
      <c r="AB15" s="238">
        <f ca="1">Loans!AB20</f>
        <v>19.763613455637241</v>
      </c>
      <c r="AC15" s="238">
        <f ca="1">Loans!AC20</f>
        <v>19.871811831554623</v>
      </c>
      <c r="AD15" s="238">
        <f ca="1">Loans!AD20</f>
        <v>19.98015043821027</v>
      </c>
      <c r="AE15" s="238">
        <f ca="1">Loans!AE20</f>
        <v>19.994109467399358</v>
      </c>
      <c r="AF15" s="238">
        <f ca="1">Loans!AF20</f>
        <v>20.007485652837811</v>
      </c>
      <c r="AG15" s="238">
        <f ca="1">Loans!AG20</f>
        <v>20.020339446424352</v>
      </c>
      <c r="AH15" s="245">
        <f ca="1">Loans!AH20</f>
        <v>20.03273355949857</v>
      </c>
      <c r="AI15" s="238">
        <f ca="1">Loans!AI20</f>
        <v>20.044733018301457</v>
      </c>
      <c r="AJ15" s="238">
        <f ca="1">Loans!AJ20</f>
        <v>20.056405220592595</v>
      </c>
      <c r="AK15" s="238">
        <f ca="1">Loans!AK20</f>
        <v>20.024160163989695</v>
      </c>
      <c r="AL15" s="238">
        <f ca="1">Loans!AL20</f>
        <v>19.993927860846462</v>
      </c>
      <c r="AM15" s="238">
        <f ca="1">Loans!AM20</f>
        <v>19.96580921753463</v>
      </c>
      <c r="AN15" s="238">
        <f ca="1">Loans!AN20</f>
        <v>20.00472606334883</v>
      </c>
      <c r="AO15" s="238">
        <f ca="1">Loans!AO20</f>
        <v>19.995309412351151</v>
      </c>
      <c r="AP15" s="238">
        <f ca="1">Loans!AP20</f>
        <v>19.987421523815797</v>
      </c>
      <c r="AQ15" s="238">
        <f ca="1">Loans!AQ20</f>
        <v>19.981079605125565</v>
      </c>
      <c r="AR15" s="238">
        <f ca="1">Loans!AR20</f>
        <v>19.976301110536781</v>
      </c>
      <c r="AS15" s="238">
        <f ca="1">Loans!AS20</f>
        <v>19.9731037446968</v>
      </c>
      <c r="AT15" s="245">
        <f ca="1">Loans!AT20</f>
        <v>19.971505466212072</v>
      </c>
      <c r="AU15" s="238">
        <f ca="1">Loans!AU20</f>
        <v>19.971524491267413</v>
      </c>
      <c r="AV15" s="238">
        <f ca="1">Loans!AV20</f>
        <v>19.973179297297232</v>
      </c>
      <c r="AW15" s="238">
        <f ca="1">Loans!AW20</f>
        <v>19.976488626709536</v>
      </c>
      <c r="AX15" s="238">
        <f ca="1">Loans!AX20</f>
        <v>19.981471490663363</v>
      </c>
      <c r="AY15" s="238">
        <f ca="1">Loans!AY20</f>
        <v>19.988147172900501</v>
      </c>
      <c r="AZ15" s="238">
        <f ca="1">Loans!AZ20</f>
        <v>19.996535233632223</v>
      </c>
      <c r="BA15" s="238">
        <f ca="1">Loans!BA20</f>
        <v>20.113352130266584</v>
      </c>
      <c r="BB15" s="238">
        <f ca="1">Loans!BB20</f>
        <v>20.231707977819806</v>
      </c>
      <c r="BC15" s="238">
        <f ca="1">Loans!BC20</f>
        <v>20.351623509884107</v>
      </c>
      <c r="BD15" s="238">
        <f ca="1">Loans!BD20</f>
        <v>20.365230987298489</v>
      </c>
      <c r="BE15" s="238">
        <f ca="1">Loans!BE20</f>
        <v>20.378994652740069</v>
      </c>
      <c r="BF15" s="245">
        <f ca="1">Loans!BF20</f>
        <v>20.392915198998359</v>
      </c>
      <c r="BG15" s="238">
        <f ca="1">Loans!BG20</f>
        <v>20.406993322414948</v>
      </c>
      <c r="BH15" s="238">
        <f ca="1">Loans!BH20</f>
        <v>20.421229722901195</v>
      </c>
      <c r="BI15" s="238">
        <f ca="1">Loans!BI20</f>
        <v>20.435625103955999</v>
      </c>
      <c r="BJ15" s="238">
        <f ca="1">Loans!BJ20</f>
        <v>20.450180172683631</v>
      </c>
      <c r="BK15" s="238">
        <f ca="1">Loans!BK20</f>
        <v>20.464895639811701</v>
      </c>
      <c r="BL15" s="238">
        <f ca="1">Loans!BL20</f>
        <v>20.479772219709144</v>
      </c>
      <c r="BM15" s="238">
        <f ca="1">Loans!BM20</f>
        <v>20.494810630404377</v>
      </c>
      <c r="BN15" s="238">
        <f ca="1">Loans!BN20</f>
        <v>20.51001159360349</v>
      </c>
      <c r="BO15" s="238">
        <f ca="1">Loans!BO20</f>
        <v>20.525375834708552</v>
      </c>
      <c r="BP15" s="238">
        <f ca="1">Loans!BP20</f>
        <v>20.540904082836001</v>
      </c>
      <c r="BQ15" s="238">
        <f ca="1">Loans!BQ20</f>
        <v>20.556597070835132</v>
      </c>
      <c r="BR15" s="245">
        <f ca="1">Loans!BR20</f>
        <v>20.572455535306673</v>
      </c>
    </row>
    <row r="16" spans="1:70" s="93" customFormat="1" x14ac:dyDescent="0.3">
      <c r="A16" s="14"/>
      <c r="B16" s="97" t="s">
        <v>107</v>
      </c>
      <c r="E16" s="96">
        <f t="shared" ref="E16:E18" si="16">SUM(K16:V16)</f>
        <v>154.19452966124882</v>
      </c>
      <c r="F16" s="96">
        <f t="shared" ref="F16" si="17">SUM(W16:AH16)</f>
        <v>163.70491085223009</v>
      </c>
      <c r="G16" s="96">
        <f t="shared" ref="G16:G18" si="18">SUM(AI16:AT16)</f>
        <v>173.80187154506837</v>
      </c>
      <c r="H16" s="96">
        <f t="shared" ref="H16:H18" si="19">SUM(AU16:BF16)</f>
        <v>184.52159067992278</v>
      </c>
      <c r="I16" s="96">
        <f t="shared" ref="I16:I18" si="20">SUM(BG16:BR16)</f>
        <v>195.90247863481702</v>
      </c>
      <c r="K16" s="94">
        <f>LoanCostReferral/1000*Loans!K5</f>
        <v>12.5</v>
      </c>
      <c r="L16" s="94">
        <f>LoanCostReferral/1000*Loans!L5</f>
        <v>12.562499999999998</v>
      </c>
      <c r="M16" s="94">
        <f>LoanCostReferral/1000*Loans!M5</f>
        <v>12.625312499999996</v>
      </c>
      <c r="N16" s="94">
        <f>LoanCostReferral/1000*Loans!N5</f>
        <v>12.688439062499995</v>
      </c>
      <c r="O16" s="94">
        <f>LoanCostReferral/1000*Loans!O5</f>
        <v>12.751881257812494</v>
      </c>
      <c r="P16" s="94">
        <f>LoanCostReferral/1000*Loans!P5</f>
        <v>12.815640664101554</v>
      </c>
      <c r="Q16" s="94">
        <f>LoanCostReferral/1000*Loans!Q5</f>
        <v>12.87971886742206</v>
      </c>
      <c r="R16" s="94">
        <f>LoanCostReferral/1000*Loans!R5</f>
        <v>12.944117461759168</v>
      </c>
      <c r="S16" s="94">
        <f>LoanCostReferral/1000*Loans!S5</f>
        <v>13.008838049067963</v>
      </c>
      <c r="T16" s="94">
        <f>LoanCostReferral/1000*Loans!T5</f>
        <v>13.073882239313301</v>
      </c>
      <c r="U16" s="94">
        <f>LoanCostReferral/1000*Loans!U5</f>
        <v>13.139251650509866</v>
      </c>
      <c r="V16" s="209">
        <f>LoanCostReferral/1000*Loans!V5</f>
        <v>13.204947908762414</v>
      </c>
      <c r="W16" s="94">
        <f>LoanCostReferral/1000*Loans!W5</f>
        <v>13.270972648306223</v>
      </c>
      <c r="X16" s="94">
        <f>LoanCostReferral/1000*Loans!X5</f>
        <v>13.337327511547754</v>
      </c>
      <c r="Y16" s="94">
        <f>LoanCostReferral/1000*Loans!Y5</f>
        <v>13.404014149105491</v>
      </c>
      <c r="Z16" s="94">
        <f>LoanCostReferral/1000*Loans!Z5</f>
        <v>13.471034219851017</v>
      </c>
      <c r="AA16" s="94">
        <f>LoanCostReferral/1000*Loans!AA5</f>
        <v>13.53838939095027</v>
      </c>
      <c r="AB16" s="94">
        <f>LoanCostReferral/1000*Loans!AB5</f>
        <v>13.606081337905019</v>
      </c>
      <c r="AC16" s="94">
        <f>LoanCostReferral/1000*Loans!AC5</f>
        <v>13.674111744594542</v>
      </c>
      <c r="AD16" s="94">
        <f>LoanCostReferral/1000*Loans!AD5</f>
        <v>13.742482303317514</v>
      </c>
      <c r="AE16" s="94">
        <f>LoanCostReferral/1000*Loans!AE5</f>
        <v>13.8111947148341</v>
      </c>
      <c r="AF16" s="94">
        <f>LoanCostReferral/1000*Loans!AF5</f>
        <v>13.880250688408269</v>
      </c>
      <c r="AG16" s="94">
        <f>LoanCostReferral/1000*Loans!AG5</f>
        <v>13.949651941850309</v>
      </c>
      <c r="AH16" s="209">
        <f>LoanCostReferral/1000*Loans!AH5</f>
        <v>14.019400201559559</v>
      </c>
      <c r="AI16" s="94">
        <f>LoanCostReferral/1000*Loans!AI5</f>
        <v>14.089497202567356</v>
      </c>
      <c r="AJ16" s="94">
        <f>LoanCostReferral/1000*Loans!AJ5</f>
        <v>14.159944688580191</v>
      </c>
      <c r="AK16" s="94">
        <f>LoanCostReferral/1000*Loans!AK5</f>
        <v>14.230744412023091</v>
      </c>
      <c r="AL16" s="94">
        <f>LoanCostReferral/1000*Loans!AL5</f>
        <v>14.301898134083205</v>
      </c>
      <c r="AM16" s="94">
        <f>LoanCostReferral/1000*Loans!AM5</f>
        <v>14.37340762475362</v>
      </c>
      <c r="AN16" s="94">
        <f>LoanCostReferral/1000*Loans!AN5</f>
        <v>14.445274662877386</v>
      </c>
      <c r="AO16" s="94">
        <f>LoanCostReferral/1000*Loans!AO5</f>
        <v>14.517501036191772</v>
      </c>
      <c r="AP16" s="94">
        <f>LoanCostReferral/1000*Loans!AP5</f>
        <v>14.590088541372729</v>
      </c>
      <c r="AQ16" s="94">
        <f>LoanCostReferral/1000*Loans!AQ5</f>
        <v>14.663038984079591</v>
      </c>
      <c r="AR16" s="94">
        <f>LoanCostReferral/1000*Loans!AR5</f>
        <v>14.736354178999989</v>
      </c>
      <c r="AS16" s="94">
        <f>LoanCostReferral/1000*Loans!AS5</f>
        <v>14.810035949894987</v>
      </c>
      <c r="AT16" s="209">
        <f>LoanCostReferral/1000*Loans!AT5</f>
        <v>14.88408612964446</v>
      </c>
      <c r="AU16" s="94">
        <f>LoanCostReferral/1000*Loans!AU5</f>
        <v>14.958506560292681</v>
      </c>
      <c r="AV16" s="94">
        <f>LoanCostReferral/1000*Loans!AV5</f>
        <v>15.033299093094143</v>
      </c>
      <c r="AW16" s="94">
        <f>LoanCostReferral/1000*Loans!AW5</f>
        <v>15.108465588559612</v>
      </c>
      <c r="AX16" s="94">
        <f>LoanCostReferral/1000*Loans!AX5</f>
        <v>15.184007916502409</v>
      </c>
      <c r="AY16" s="94">
        <f>LoanCostReferral/1000*Loans!AY5</f>
        <v>15.259927956084919</v>
      </c>
      <c r="AZ16" s="94">
        <f>LoanCostReferral/1000*Loans!AZ5</f>
        <v>15.336227595865342</v>
      </c>
      <c r="BA16" s="94">
        <f>LoanCostReferral/1000*Loans!BA5</f>
        <v>15.412908733844667</v>
      </c>
      <c r="BB16" s="94">
        <f>LoanCostReferral/1000*Loans!BB5</f>
        <v>15.489973277513888</v>
      </c>
      <c r="BC16" s="94">
        <f>LoanCostReferral/1000*Loans!BC5</f>
        <v>15.567423143901456</v>
      </c>
      <c r="BD16" s="94">
        <f>LoanCostReferral/1000*Loans!BD5</f>
        <v>15.645260259620962</v>
      </c>
      <c r="BE16" s="94">
        <f>LoanCostReferral/1000*Loans!BE5</f>
        <v>15.723486560919065</v>
      </c>
      <c r="BF16" s="209">
        <f>LoanCostReferral/1000*Loans!BF5</f>
        <v>15.802103993723659</v>
      </c>
      <c r="BG16" s="94">
        <f>LoanCostReferral/1000*Loans!BG5</f>
        <v>15.881114513692275</v>
      </c>
      <c r="BH16" s="94">
        <f>LoanCostReferral/1000*Loans!BH5</f>
        <v>15.960520086260734</v>
      </c>
      <c r="BI16" s="94">
        <f>LoanCostReferral/1000*Loans!BI5</f>
        <v>16.040322686692036</v>
      </c>
      <c r="BJ16" s="94">
        <f>LoanCostReferral/1000*Loans!BJ5</f>
        <v>16.120524300125496</v>
      </c>
      <c r="BK16" s="94">
        <f>LoanCostReferral/1000*Loans!BK5</f>
        <v>16.20112692162612</v>
      </c>
      <c r="BL16" s="94">
        <f>LoanCostReferral/1000*Loans!BL5</f>
        <v>16.282132556234249</v>
      </c>
      <c r="BM16" s="94">
        <f>LoanCostReferral/1000*Loans!BM5</f>
        <v>16.363543219015419</v>
      </c>
      <c r="BN16" s="94">
        <f>LoanCostReferral/1000*Loans!BN5</f>
        <v>16.445360935110493</v>
      </c>
      <c r="BO16" s="94">
        <f>LoanCostReferral/1000*Loans!BO5</f>
        <v>16.527587739786043</v>
      </c>
      <c r="BP16" s="94">
        <f>LoanCostReferral/1000*Loans!BP5</f>
        <v>16.610225678484973</v>
      </c>
      <c r="BQ16" s="94">
        <f>LoanCostReferral/1000*Loans!BQ5</f>
        <v>16.693276806877396</v>
      </c>
      <c r="BR16" s="209">
        <f>LoanCostReferral/1000*Loans!BR5</f>
        <v>16.77674319091178</v>
      </c>
    </row>
    <row r="17" spans="1:70" s="93" customFormat="1" x14ac:dyDescent="0.3">
      <c r="A17" s="14"/>
      <c r="B17" s="97" t="s">
        <v>108</v>
      </c>
      <c r="E17" s="96">
        <f t="shared" si="16"/>
        <v>308.38905932249764</v>
      </c>
      <c r="F17" s="96">
        <f>SUM(W17:AH17)</f>
        <v>327.40982170446017</v>
      </c>
      <c r="G17" s="96">
        <f t="shared" si="18"/>
        <v>347.60374309013673</v>
      </c>
      <c r="H17" s="96">
        <f t="shared" si="19"/>
        <v>369.04318135984562</v>
      </c>
      <c r="I17" s="96">
        <f t="shared" si="20"/>
        <v>391.80495726963403</v>
      </c>
      <c r="K17" s="94">
        <f>LoanCostCommission*Loans!K19</f>
        <v>25</v>
      </c>
      <c r="L17" s="94">
        <f>LoanCostCommission*Loans!L19</f>
        <v>25.124999999999996</v>
      </c>
      <c r="M17" s="94">
        <f>LoanCostCommission*Loans!M19</f>
        <v>25.250624999999992</v>
      </c>
      <c r="N17" s="94">
        <f>LoanCostCommission*Loans!N19</f>
        <v>25.37687812499999</v>
      </c>
      <c r="O17" s="94">
        <f>LoanCostCommission*Loans!O19</f>
        <v>25.503762515624992</v>
      </c>
      <c r="P17" s="94">
        <f>LoanCostCommission*Loans!P19</f>
        <v>25.631281328203109</v>
      </c>
      <c r="Q17" s="94">
        <f>LoanCostCommission*Loans!Q19</f>
        <v>25.75943773484412</v>
      </c>
      <c r="R17" s="94">
        <f>LoanCostCommission*Loans!R19</f>
        <v>25.888234923518336</v>
      </c>
      <c r="S17" s="94">
        <f>LoanCostCommission*Loans!S19</f>
        <v>26.017676098135926</v>
      </c>
      <c r="T17" s="94">
        <f>LoanCostCommission*Loans!T19</f>
        <v>26.147764478626602</v>
      </c>
      <c r="U17" s="94">
        <f>LoanCostCommission*Loans!U19</f>
        <v>26.278503301019732</v>
      </c>
      <c r="V17" s="209">
        <f>LoanCostCommission*Loans!V19</f>
        <v>26.409895817524827</v>
      </c>
      <c r="W17" s="94">
        <f>LoanCostCommission*Loans!W19</f>
        <v>26.54194529661245</v>
      </c>
      <c r="X17" s="94">
        <f>LoanCostCommission*Loans!X19</f>
        <v>26.674655023095507</v>
      </c>
      <c r="Y17" s="94">
        <f>LoanCostCommission*Loans!Y19</f>
        <v>26.808028298210981</v>
      </c>
      <c r="Z17" s="94">
        <f>LoanCostCommission*Loans!Z19</f>
        <v>26.942068439702034</v>
      </c>
      <c r="AA17" s="94">
        <f>LoanCostCommission*Loans!AA19</f>
        <v>27.07677878190054</v>
      </c>
      <c r="AB17" s="94">
        <f>LoanCostCommission*Loans!AB19</f>
        <v>27.212162675810038</v>
      </c>
      <c r="AC17" s="94">
        <f>LoanCostCommission*Loans!AC19</f>
        <v>27.348223489189085</v>
      </c>
      <c r="AD17" s="94">
        <f>LoanCostCommission*Loans!AD19</f>
        <v>27.484964606635028</v>
      </c>
      <c r="AE17" s="94">
        <f>LoanCostCommission*Loans!AE19</f>
        <v>27.622389429668203</v>
      </c>
      <c r="AF17" s="94">
        <f>LoanCostCommission*Loans!AF19</f>
        <v>27.760501376816539</v>
      </c>
      <c r="AG17" s="94">
        <f>LoanCostCommission*Loans!AG19</f>
        <v>27.899303883700618</v>
      </c>
      <c r="AH17" s="209">
        <f>LoanCostCommission*Loans!AH19</f>
        <v>28.038800403119119</v>
      </c>
      <c r="AI17" s="94">
        <f>LoanCostCommission*Loans!AI19</f>
        <v>28.178994405134713</v>
      </c>
      <c r="AJ17" s="94">
        <f>LoanCostCommission*Loans!AJ19</f>
        <v>28.319889377160386</v>
      </c>
      <c r="AK17" s="94">
        <f>LoanCostCommission*Loans!AK19</f>
        <v>28.461488824046182</v>
      </c>
      <c r="AL17" s="94">
        <f>LoanCostCommission*Loans!AL19</f>
        <v>28.603796268166413</v>
      </c>
      <c r="AM17" s="94">
        <f>LoanCostCommission*Loans!AM19</f>
        <v>28.74681524950724</v>
      </c>
      <c r="AN17" s="94">
        <f>LoanCostCommission*Loans!AN19</f>
        <v>28.890549325754773</v>
      </c>
      <c r="AO17" s="94">
        <f>LoanCostCommission*Loans!AO19</f>
        <v>29.035002072383545</v>
      </c>
      <c r="AP17" s="94">
        <f>LoanCostCommission*Loans!AP19</f>
        <v>29.180177082745459</v>
      </c>
      <c r="AQ17" s="94">
        <f>LoanCostCommission*Loans!AQ19</f>
        <v>29.326077968159183</v>
      </c>
      <c r="AR17" s="94">
        <f>LoanCostCommission*Loans!AR19</f>
        <v>29.472708357999977</v>
      </c>
      <c r="AS17" s="94">
        <f>LoanCostCommission*Loans!AS19</f>
        <v>29.620071899789973</v>
      </c>
      <c r="AT17" s="209">
        <f>LoanCostCommission*Loans!AT19</f>
        <v>29.768172259288921</v>
      </c>
      <c r="AU17" s="94">
        <f>LoanCostCommission*Loans!AU19</f>
        <v>29.917013120585363</v>
      </c>
      <c r="AV17" s="94">
        <f>LoanCostCommission*Loans!AV19</f>
        <v>30.066598186188287</v>
      </c>
      <c r="AW17" s="94">
        <f>LoanCostCommission*Loans!AW19</f>
        <v>30.216931177119228</v>
      </c>
      <c r="AX17" s="94">
        <f>LoanCostCommission*Loans!AX19</f>
        <v>30.368015833004819</v>
      </c>
      <c r="AY17" s="94">
        <f>LoanCostCommission*Loans!AY19</f>
        <v>30.519855912169838</v>
      </c>
      <c r="AZ17" s="94">
        <f>LoanCostCommission*Loans!AZ19</f>
        <v>30.672455191730684</v>
      </c>
      <c r="BA17" s="94">
        <f>LoanCostCommission*Loans!BA19</f>
        <v>30.825817467689337</v>
      </c>
      <c r="BB17" s="94">
        <f>LoanCostCommission*Loans!BB19</f>
        <v>30.979946555027777</v>
      </c>
      <c r="BC17" s="94">
        <f>LoanCostCommission*Loans!BC19</f>
        <v>31.134846287802912</v>
      </c>
      <c r="BD17" s="94">
        <f>LoanCostCommission*Loans!BD19</f>
        <v>31.290520519241923</v>
      </c>
      <c r="BE17" s="94">
        <f>LoanCostCommission*Loans!BE19</f>
        <v>31.446973121838134</v>
      </c>
      <c r="BF17" s="209">
        <f>LoanCostCommission*Loans!BF19</f>
        <v>31.604207987447317</v>
      </c>
      <c r="BG17" s="94">
        <f>LoanCostCommission*Loans!BG19</f>
        <v>31.762229027384553</v>
      </c>
      <c r="BH17" s="94">
        <f>LoanCostCommission*Loans!BH19</f>
        <v>31.921040172521472</v>
      </c>
      <c r="BI17" s="94">
        <f>LoanCostCommission*Loans!BI19</f>
        <v>32.080645373384073</v>
      </c>
      <c r="BJ17" s="94">
        <f>LoanCostCommission*Loans!BJ19</f>
        <v>32.241048600250991</v>
      </c>
      <c r="BK17" s="94">
        <f>LoanCostCommission*Loans!BK19</f>
        <v>32.40225384325224</v>
      </c>
      <c r="BL17" s="94">
        <f>LoanCostCommission*Loans!BL19</f>
        <v>32.564265112468497</v>
      </c>
      <c r="BM17" s="94">
        <f>LoanCostCommission*Loans!BM19</f>
        <v>32.727086438030838</v>
      </c>
      <c r="BN17" s="94">
        <f>LoanCostCommission*Loans!BN19</f>
        <v>32.890721870220986</v>
      </c>
      <c r="BO17" s="94">
        <f>LoanCostCommission*Loans!BO19</f>
        <v>33.055175479572085</v>
      </c>
      <c r="BP17" s="94">
        <f>LoanCostCommission*Loans!BP19</f>
        <v>33.220451356969946</v>
      </c>
      <c r="BQ17" s="94">
        <f>LoanCostCommission*Loans!BQ19</f>
        <v>33.386553613754792</v>
      </c>
      <c r="BR17" s="209">
        <f>LoanCostCommission*Loans!BR19</f>
        <v>33.553486381823561</v>
      </c>
    </row>
    <row r="18" spans="1:70" s="93" customFormat="1" x14ac:dyDescent="0.3">
      <c r="A18" s="14"/>
      <c r="B18" s="97" t="s">
        <v>109</v>
      </c>
      <c r="E18" s="96">
        <f t="shared" si="16"/>
        <v>123.35562372899903</v>
      </c>
      <c r="F18" s="96">
        <f t="shared" ref="F18" si="21">SUM(W18:AH18)</f>
        <v>130.96392868178407</v>
      </c>
      <c r="G18" s="96">
        <f t="shared" si="18"/>
        <v>139.04149723605471</v>
      </c>
      <c r="H18" s="96">
        <f t="shared" si="19"/>
        <v>147.61727254393824</v>
      </c>
      <c r="I18" s="96">
        <f t="shared" si="20"/>
        <v>156.72198290785363</v>
      </c>
      <c r="K18" s="94">
        <f>LoanCostProcessing/1000*Loans!K5</f>
        <v>10</v>
      </c>
      <c r="L18" s="94">
        <f>LoanCostProcessing/1000*Loans!L5</f>
        <v>10.049999999999999</v>
      </c>
      <c r="M18" s="94">
        <f>LoanCostProcessing/1000*Loans!M5</f>
        <v>10.100249999999997</v>
      </c>
      <c r="N18" s="94">
        <f>LoanCostProcessing/1000*Loans!N5</f>
        <v>10.150751249999997</v>
      </c>
      <c r="O18" s="94">
        <f>LoanCostProcessing/1000*Loans!O5</f>
        <v>10.201505006249995</v>
      </c>
      <c r="P18" s="94">
        <f>LoanCostProcessing/1000*Loans!P5</f>
        <v>10.252512531281244</v>
      </c>
      <c r="Q18" s="94">
        <f>LoanCostProcessing/1000*Loans!Q5</f>
        <v>10.303775093937649</v>
      </c>
      <c r="R18" s="94">
        <f>LoanCostProcessing/1000*Loans!R5</f>
        <v>10.355293969407334</v>
      </c>
      <c r="S18" s="94">
        <f>LoanCostProcessing/1000*Loans!S5</f>
        <v>10.407070439254371</v>
      </c>
      <c r="T18" s="94">
        <f>LoanCostProcessing/1000*Loans!T5</f>
        <v>10.459105791450641</v>
      </c>
      <c r="U18" s="94">
        <f>LoanCostProcessing/1000*Loans!U5</f>
        <v>10.511401320407893</v>
      </c>
      <c r="V18" s="209">
        <f>LoanCostProcessing/1000*Loans!V5</f>
        <v>10.563958327009932</v>
      </c>
      <c r="W18" s="94">
        <f>LoanCostProcessing/1000*Loans!W5</f>
        <v>10.61677811864498</v>
      </c>
      <c r="X18" s="94">
        <f>LoanCostProcessing/1000*Loans!X5</f>
        <v>10.669862009238203</v>
      </c>
      <c r="Y18" s="94">
        <f>LoanCostProcessing/1000*Loans!Y5</f>
        <v>10.723211319284394</v>
      </c>
      <c r="Z18" s="94">
        <f>LoanCostProcessing/1000*Loans!Z5</f>
        <v>10.776827375880814</v>
      </c>
      <c r="AA18" s="94">
        <f>LoanCostProcessing/1000*Loans!AA5</f>
        <v>10.830711512760217</v>
      </c>
      <c r="AB18" s="94">
        <f>LoanCostProcessing/1000*Loans!AB5</f>
        <v>10.884865070324016</v>
      </c>
      <c r="AC18" s="94">
        <f>LoanCostProcessing/1000*Loans!AC5</f>
        <v>10.939289395675635</v>
      </c>
      <c r="AD18" s="94">
        <f>LoanCostProcessing/1000*Loans!AD5</f>
        <v>10.993985842654013</v>
      </c>
      <c r="AE18" s="94">
        <f>LoanCostProcessing/1000*Loans!AE5</f>
        <v>11.048955771867281</v>
      </c>
      <c r="AF18" s="94">
        <f>LoanCostProcessing/1000*Loans!AF5</f>
        <v>11.104200550726617</v>
      </c>
      <c r="AG18" s="94">
        <f>LoanCostProcessing/1000*Loans!AG5</f>
        <v>11.159721553480248</v>
      </c>
      <c r="AH18" s="209">
        <f>LoanCostProcessing/1000*Loans!AH5</f>
        <v>11.215520161247648</v>
      </c>
      <c r="AI18" s="94">
        <f>LoanCostProcessing/1000*Loans!AI5</f>
        <v>11.271597762053887</v>
      </c>
      <c r="AJ18" s="94">
        <f>LoanCostProcessing/1000*Loans!AJ5</f>
        <v>11.327955750864154</v>
      </c>
      <c r="AK18" s="94">
        <f>LoanCostProcessing/1000*Loans!AK5</f>
        <v>11.384595529618473</v>
      </c>
      <c r="AL18" s="94">
        <f>LoanCostProcessing/1000*Loans!AL5</f>
        <v>11.441518507266565</v>
      </c>
      <c r="AM18" s="94">
        <f>LoanCostProcessing/1000*Loans!AM5</f>
        <v>11.498726099802896</v>
      </c>
      <c r="AN18" s="94">
        <f>LoanCostProcessing/1000*Loans!AN5</f>
        <v>11.55621973030191</v>
      </c>
      <c r="AO18" s="94">
        <f>LoanCostProcessing/1000*Loans!AO5</f>
        <v>11.614000828953419</v>
      </c>
      <c r="AP18" s="94">
        <f>LoanCostProcessing/1000*Loans!AP5</f>
        <v>11.672070833098184</v>
      </c>
      <c r="AQ18" s="94">
        <f>LoanCostProcessing/1000*Loans!AQ5</f>
        <v>11.730431187263674</v>
      </c>
      <c r="AR18" s="94">
        <f>LoanCostProcessing/1000*Loans!AR5</f>
        <v>11.789083343199991</v>
      </c>
      <c r="AS18" s="94">
        <f>LoanCostProcessing/1000*Loans!AS5</f>
        <v>11.848028759915991</v>
      </c>
      <c r="AT18" s="209">
        <f>LoanCostProcessing/1000*Loans!AT5</f>
        <v>11.907268903715568</v>
      </c>
      <c r="AU18" s="94">
        <f>LoanCostProcessing/1000*Loans!AU5</f>
        <v>11.966805248234145</v>
      </c>
      <c r="AV18" s="94">
        <f>LoanCostProcessing/1000*Loans!AV5</f>
        <v>12.026639274475315</v>
      </c>
      <c r="AW18" s="94">
        <f>LoanCostProcessing/1000*Loans!AW5</f>
        <v>12.086772470847691</v>
      </c>
      <c r="AX18" s="94">
        <f>LoanCostProcessing/1000*Loans!AX5</f>
        <v>12.147206333201929</v>
      </c>
      <c r="AY18" s="94">
        <f>LoanCostProcessing/1000*Loans!AY5</f>
        <v>12.207942364867936</v>
      </c>
      <c r="AZ18" s="94">
        <f>LoanCostProcessing/1000*Loans!AZ5</f>
        <v>12.268982076692275</v>
      </c>
      <c r="BA18" s="94">
        <f>LoanCostProcessing/1000*Loans!BA5</f>
        <v>12.330326987075734</v>
      </c>
      <c r="BB18" s="94">
        <f>LoanCostProcessing/1000*Loans!BB5</f>
        <v>12.391978622011111</v>
      </c>
      <c r="BC18" s="94">
        <f>LoanCostProcessing/1000*Loans!BC5</f>
        <v>12.453938515121166</v>
      </c>
      <c r="BD18" s="94">
        <f>LoanCostProcessing/1000*Loans!BD5</f>
        <v>12.516208207696771</v>
      </c>
      <c r="BE18" s="94">
        <f>LoanCostProcessing/1000*Loans!BE5</f>
        <v>12.578789248735253</v>
      </c>
      <c r="BF18" s="209">
        <f>LoanCostProcessing/1000*Loans!BF5</f>
        <v>12.641683194978928</v>
      </c>
      <c r="BG18" s="94">
        <f>LoanCostProcessing/1000*Loans!BG5</f>
        <v>12.704891610953821</v>
      </c>
      <c r="BH18" s="94">
        <f>LoanCostProcessing/1000*Loans!BH5</f>
        <v>12.768416069008587</v>
      </c>
      <c r="BI18" s="94">
        <f>LoanCostProcessing/1000*Loans!BI5</f>
        <v>12.832258149353629</v>
      </c>
      <c r="BJ18" s="94">
        <f>LoanCostProcessing/1000*Loans!BJ5</f>
        <v>12.896419440100397</v>
      </c>
      <c r="BK18" s="94">
        <f>LoanCostProcessing/1000*Loans!BK5</f>
        <v>12.960901537300897</v>
      </c>
      <c r="BL18" s="94">
        <f>LoanCostProcessing/1000*Loans!BL5</f>
        <v>13.0257060449874</v>
      </c>
      <c r="BM18" s="94">
        <f>LoanCostProcessing/1000*Loans!BM5</f>
        <v>13.090834575212336</v>
      </c>
      <c r="BN18" s="94">
        <f>LoanCostProcessing/1000*Loans!BN5</f>
        <v>13.156288748088395</v>
      </c>
      <c r="BO18" s="94">
        <f>LoanCostProcessing/1000*Loans!BO5</f>
        <v>13.222070191828834</v>
      </c>
      <c r="BP18" s="94">
        <f>LoanCostProcessing/1000*Loans!BP5</f>
        <v>13.288180542787979</v>
      </c>
      <c r="BQ18" s="94">
        <f>LoanCostProcessing/1000*Loans!BQ5</f>
        <v>13.354621445501918</v>
      </c>
      <c r="BR18" s="209">
        <f>LoanCostProcessing/1000*Loans!BR5</f>
        <v>13.421394552729424</v>
      </c>
    </row>
    <row r="19" spans="1:70" s="105" customFormat="1" x14ac:dyDescent="0.3">
      <c r="A19" s="6"/>
      <c r="B19" s="138" t="s">
        <v>110</v>
      </c>
      <c r="C19" s="94"/>
      <c r="D19" s="94"/>
      <c r="E19" s="122">
        <f ca="1">SUM(K19:V19)</f>
        <v>760.97839879873072</v>
      </c>
      <c r="F19" s="122">
        <f ca="1">SUM(W19:AH19)</f>
        <v>100.36328009066847</v>
      </c>
      <c r="G19" s="122">
        <f ca="1">SUM(AI19:AT19)</f>
        <v>-12.350519928955464</v>
      </c>
      <c r="H19" s="122">
        <f ca="1">SUM(AU19:BF19)</f>
        <v>12.547362023380856</v>
      </c>
      <c r="I19" s="122">
        <f ca="1">SUM(BG19:BR19)</f>
        <v>-0.72077922141511408</v>
      </c>
      <c r="J19" s="94"/>
      <c r="K19" s="123">
        <f ca="1">Loans!K24</f>
        <v>118.77427727934838</v>
      </c>
      <c r="L19" s="123">
        <f ca="1">Loans!L24-Loans!K24</f>
        <v>113.2203643105658</v>
      </c>
      <c r="M19" s="123">
        <f ca="1">Loans!M24-Loans!L24</f>
        <v>107.55305357924362</v>
      </c>
      <c r="N19" s="123">
        <f ca="1">Loans!N24-Loans!M24</f>
        <v>61.888153413923931</v>
      </c>
      <c r="O19" s="123">
        <f ca="1">Loans!O24-Loans!N24</f>
        <v>58.170227786320481</v>
      </c>
      <c r="P19" s="123">
        <f ca="1">Loans!P24-Loans!O24</f>
        <v>54.562166543893113</v>
      </c>
      <c r="Q19" s="123">
        <f ca="1">Loans!Q24-Loans!P24</f>
        <v>50.881467841229323</v>
      </c>
      <c r="R19" s="123">
        <f ca="1">Loans!R24-Loans!Q24</f>
        <v>47.126932580906669</v>
      </c>
      <c r="S19" s="123">
        <f ca="1">Loans!S24-Loans!R24</f>
        <v>43.29734294865159</v>
      </c>
      <c r="T19" s="123">
        <f ca="1">Loans!T24-Loans!S24</f>
        <v>39.282513107406544</v>
      </c>
      <c r="U19" s="123">
        <f ca="1">Loans!U24-Loans!T24</f>
        <v>35.193307138125078</v>
      </c>
      <c r="V19" s="123">
        <f ca="1">Loans!V24-Loans!U24</f>
        <v>31.028592269116189</v>
      </c>
      <c r="W19" s="123">
        <f ca="1">Loans!W24-Loans!V24</f>
        <v>26.952670699313103</v>
      </c>
      <c r="X19" s="123">
        <f ca="1">Loans!X24-Loans!W24</f>
        <v>22.67162599690846</v>
      </c>
      <c r="Y19" s="123">
        <f ca="1">Loans!Y24-Loans!X24</f>
        <v>18.310069715721852</v>
      </c>
      <c r="Z19" s="123">
        <f ca="1">Loans!Z24-Loans!Y24</f>
        <v>13.866739588668565</v>
      </c>
      <c r="AA19" s="123">
        <f ca="1">Loans!AA24-Loans!Z24</f>
        <v>9.3403546034692226</v>
      </c>
      <c r="AB19" s="123">
        <f ca="1">Loans!AB24-Loans!AA24</f>
        <v>4.7296147289739565</v>
      </c>
      <c r="AC19" s="123">
        <f ca="1">Loans!AC24-Loans!AB24</f>
        <v>4.7332247455524339</v>
      </c>
      <c r="AD19" s="123">
        <f ca="1">Loans!AD24-Loans!AC24</f>
        <v>1.0827344288713903E-2</v>
      </c>
      <c r="AE19" s="123">
        <f ca="1">Loans!AE24-Loans!AD24</f>
        <v>-2.1750463819330434E-2</v>
      </c>
      <c r="AF19" s="123">
        <f ca="1">Loans!AF24-Loans!AE24</f>
        <v>-5.1322855093303588E-2</v>
      </c>
      <c r="AG19" s="123">
        <f ca="1">Loans!AG24-Loans!AF24</f>
        <v>-7.7776943381422825E-2</v>
      </c>
      <c r="AH19" s="123">
        <f ca="1">Loans!AH24-Loans!AG24</f>
        <v>-0.10099706993378277</v>
      </c>
      <c r="AI19" s="123">
        <f ca="1">Loans!AI24-Loans!AH24</f>
        <v>-0.12086474557145266</v>
      </c>
      <c r="AJ19" s="123">
        <f ca="1">Loans!AJ24-Loans!AI24</f>
        <v>-2.3202500645738837</v>
      </c>
      <c r="AK19" s="123">
        <f ca="1">Loans!AK24-Loans!AJ24</f>
        <v>-2.2231523777628581</v>
      </c>
      <c r="AL19" s="123">
        <f ca="1">Loans!AL24-Loans!AK24</f>
        <v>-2.1210270722957603</v>
      </c>
      <c r="AM19" s="123">
        <f ca="1">Loans!AM24-Loans!AL24</f>
        <v>1.2271719094724176</v>
      </c>
      <c r="AN19" s="123">
        <f ca="1">Loans!AN24-Loans!AM24</f>
        <v>-1.1930962830277849</v>
      </c>
      <c r="AO19" s="123">
        <f ca="1">Loans!AO24-Loans!AN24</f>
        <v>-1.1202694785773701</v>
      </c>
      <c r="AP19" s="123">
        <f ca="1">Loans!AP24-Loans!AO24</f>
        <v>-1.0466003615802038</v>
      </c>
      <c r="AQ19" s="123">
        <f ca="1">Loans!AQ24-Loans!AP24</f>
        <v>-0.97207667864336145</v>
      </c>
      <c r="AR19" s="123">
        <f ca="1">Loans!AR24-Loans!AQ24</f>
        <v>-0.8966860009489892</v>
      </c>
      <c r="AS19" s="123">
        <f ca="1">Loans!AS24-Loans!AR24</f>
        <v>-0.82041572173091026</v>
      </c>
      <c r="AT19" s="123">
        <f ca="1">Loans!AT24-Loans!AS24</f>
        <v>-0.74325305371530703</v>
      </c>
      <c r="AU19" s="123">
        <f ca="1">Loans!AU24-Loans!AT24</f>
        <v>-0.66518502652365896</v>
      </c>
      <c r="AV19" s="123">
        <f ca="1">Loans!AV24-Loans!AU24</f>
        <v>-0.58619848403952801</v>
      </c>
      <c r="AW19" s="123">
        <f ca="1">Loans!AW24-Loans!AV24</f>
        <v>-0.50628008173669059</v>
      </c>
      <c r="AX19" s="123">
        <f ca="1">Loans!AX24-Loans!AW24</f>
        <v>-0.42541628396804754</v>
      </c>
      <c r="AY19" s="123">
        <f ca="1">Loans!AY24-Loans!AX24</f>
        <v>-0.34359336121815431</v>
      </c>
      <c r="AZ19" s="123">
        <f ca="1">Loans!AZ24-Loans!AY24</f>
        <v>5.0740334519248336</v>
      </c>
      <c r="BA19" s="123">
        <f ca="1">Loans!BA24-Loans!AZ24</f>
        <v>5.1471469409688098</v>
      </c>
      <c r="BB19" s="123">
        <f ca="1">Loans!BB24-Loans!BA24</f>
        <v>5.2212779393395294</v>
      </c>
      <c r="BC19" s="123">
        <f ca="1">Loans!BC24-Loans!BB24</f>
        <v>-9.7997286476129375E-2</v>
      </c>
      <c r="BD19" s="123">
        <f ca="1">Loans!BD24-Loans!BC24</f>
        <v>-9.4079740901861442E-2</v>
      </c>
      <c r="BE19" s="123">
        <f ca="1">Loans!BE24-Loans!BD24</f>
        <v>-9.0147015131492481E-2</v>
      </c>
      <c r="BF19" s="123">
        <f ca="1">Loans!BF24-Loans!BE24</f>
        <v>-8.6199028856754012E-2</v>
      </c>
      <c r="BG19" s="123">
        <f ca="1">Loans!BG24-Loans!BF24</f>
        <v>-8.2235701372155745E-2</v>
      </c>
      <c r="BH19" s="123">
        <f ca="1">Loans!BH24-Loans!BG24</f>
        <v>-7.8256951572825528E-2</v>
      </c>
      <c r="BI19" s="123">
        <f ca="1">Loans!BI24-Loans!BH24</f>
        <v>-7.4262697952917733E-2</v>
      </c>
      <c r="BJ19" s="123">
        <f ca="1">Loans!BJ24-Loans!BI24</f>
        <v>-7.0252858602884771E-2</v>
      </c>
      <c r="BK19" s="123">
        <f ca="1">Loans!BK24-Loans!BJ24</f>
        <v>-6.6227351209136032E-2</v>
      </c>
      <c r="BL19" s="123">
        <f ca="1">Loans!BL24-Loans!BK24</f>
        <v>-6.2186093050058844E-2</v>
      </c>
      <c r="BM19" s="123">
        <f ca="1">Loans!BM24-Loans!BL24</f>
        <v>-5.8129000994995295E-2</v>
      </c>
      <c r="BN19" s="123">
        <f ca="1">Loans!BN24-Loans!BM24</f>
        <v>-5.4055991502536926E-2</v>
      </c>
      <c r="BO19" s="123">
        <f ca="1">Loans!BO24-Loans!BN24</f>
        <v>-4.9966980616773071E-2</v>
      </c>
      <c r="BP19" s="123">
        <f ca="1">Loans!BP24-Loans!BO24</f>
        <v>-4.5861883967745598E-2</v>
      </c>
      <c r="BQ19" s="123">
        <f ca="1">Loans!BQ24-Loans!BP24</f>
        <v>-4.1740616766787753E-2</v>
      </c>
      <c r="BR19" s="123">
        <f ca="1">Loans!BR24-Loans!BQ24</f>
        <v>-3.7603093806296783E-2</v>
      </c>
    </row>
    <row r="20" spans="1:70" s="94" customFormat="1" x14ac:dyDescent="0.3">
      <c r="A20" s="164"/>
      <c r="B20" s="259" t="s">
        <v>111</v>
      </c>
      <c r="C20" s="93"/>
      <c r="D20" s="93"/>
      <c r="E20" s="94">
        <f ca="1">SUM(K20:V20)</f>
        <v>1346.9176115114763</v>
      </c>
      <c r="F20" s="94">
        <f ca="1">SUM(W20:AH20)</f>
        <v>722.44194132914276</v>
      </c>
      <c r="G20" s="94">
        <f ca="1">SUM(AI20:AT20)</f>
        <v>648.09659194230426</v>
      </c>
      <c r="H20" s="94">
        <f ca="1">SUM(AU20:BF20)</f>
        <v>713.72940660708753</v>
      </c>
      <c r="I20" s="94">
        <f ca="1">SUM(BG20:BR20)</f>
        <v>743.70863959088967</v>
      </c>
      <c r="J20" s="93"/>
      <c r="K20" s="93">
        <f ca="1">SUM(K16:K19)</f>
        <v>166.27427727934838</v>
      </c>
      <c r="L20" s="93">
        <f t="shared" ref="L20:BR20" ca="1" si="22">SUM(L16:L19)</f>
        <v>160.95786431056578</v>
      </c>
      <c r="M20" s="93">
        <f t="shared" ca="1" si="22"/>
        <v>155.5292410792436</v>
      </c>
      <c r="N20" s="93">
        <f t="shared" ca="1" si="22"/>
        <v>110.10422185142392</v>
      </c>
      <c r="O20" s="93">
        <f t="shared" ca="1" si="22"/>
        <v>106.62737656600797</v>
      </c>
      <c r="P20" s="93">
        <f t="shared" ca="1" si="22"/>
        <v>103.26160106747902</v>
      </c>
      <c r="Q20" s="93">
        <f t="shared" ca="1" si="22"/>
        <v>99.824399537433152</v>
      </c>
      <c r="R20" s="93">
        <f t="shared" ca="1" si="22"/>
        <v>96.314578935591499</v>
      </c>
      <c r="S20" s="93">
        <f t="shared" ca="1" si="22"/>
        <v>92.730927535109856</v>
      </c>
      <c r="T20" s="93">
        <f t="shared" ca="1" si="22"/>
        <v>88.963265616797088</v>
      </c>
      <c r="U20" s="93">
        <f t="shared" ca="1" si="22"/>
        <v>85.122463410062579</v>
      </c>
      <c r="V20" s="103">
        <f t="shared" ca="1" si="22"/>
        <v>81.207394322413364</v>
      </c>
      <c r="W20" s="93">
        <f t="shared" ca="1" si="22"/>
        <v>77.382366762876757</v>
      </c>
      <c r="X20" s="93">
        <f t="shared" ca="1" si="22"/>
        <v>73.353470540789914</v>
      </c>
      <c r="Y20" s="93">
        <f t="shared" ca="1" si="22"/>
        <v>69.245323482322718</v>
      </c>
      <c r="Z20" s="93">
        <f t="shared" ca="1" si="22"/>
        <v>65.056669624102426</v>
      </c>
      <c r="AA20" s="93">
        <f t="shared" ca="1" si="22"/>
        <v>60.786234289080248</v>
      </c>
      <c r="AB20" s="93">
        <f t="shared" ca="1" si="22"/>
        <v>56.432723813013034</v>
      </c>
      <c r="AC20" s="93">
        <f t="shared" ca="1" si="22"/>
        <v>56.6948493750117</v>
      </c>
      <c r="AD20" s="93">
        <f t="shared" ca="1" si="22"/>
        <v>52.232260096895267</v>
      </c>
      <c r="AE20" s="93">
        <f t="shared" ca="1" si="22"/>
        <v>52.460789452550259</v>
      </c>
      <c r="AF20" s="93">
        <f t="shared" ca="1" si="22"/>
        <v>52.693629760858123</v>
      </c>
      <c r="AG20" s="93">
        <f t="shared" ca="1" si="22"/>
        <v>52.930900435649754</v>
      </c>
      <c r="AH20" s="103">
        <f t="shared" ca="1" si="22"/>
        <v>53.172723695992538</v>
      </c>
      <c r="AI20" s="93">
        <f t="shared" ca="1" si="22"/>
        <v>53.419224624184501</v>
      </c>
      <c r="AJ20" s="93">
        <f t="shared" ca="1" si="22"/>
        <v>51.487539752030848</v>
      </c>
      <c r="AK20" s="93">
        <f t="shared" ca="1" si="22"/>
        <v>51.853676387924885</v>
      </c>
      <c r="AL20" s="93">
        <f t="shared" ca="1" si="22"/>
        <v>52.22618583722042</v>
      </c>
      <c r="AM20" s="93">
        <f t="shared" ca="1" si="22"/>
        <v>55.846120883536173</v>
      </c>
      <c r="AN20" s="93">
        <f t="shared" ca="1" si="22"/>
        <v>53.698947435906284</v>
      </c>
      <c r="AO20" s="93">
        <f t="shared" ca="1" si="22"/>
        <v>54.046234458951361</v>
      </c>
      <c r="AP20" s="93">
        <f t="shared" ca="1" si="22"/>
        <v>54.395736095636167</v>
      </c>
      <c r="AQ20" s="93">
        <f t="shared" ca="1" si="22"/>
        <v>54.747471460859089</v>
      </c>
      <c r="AR20" s="93">
        <f t="shared" ca="1" si="22"/>
        <v>55.101459879250967</v>
      </c>
      <c r="AS20" s="93">
        <f t="shared" ca="1" si="22"/>
        <v>55.457720887870039</v>
      </c>
      <c r="AT20" s="103">
        <f t="shared" ca="1" si="22"/>
        <v>55.816274238933644</v>
      </c>
      <c r="AU20" s="93">
        <f t="shared" ca="1" si="22"/>
        <v>56.177139902588529</v>
      </c>
      <c r="AV20" s="93">
        <f t="shared" ca="1" si="22"/>
        <v>56.540338069718217</v>
      </c>
      <c r="AW20" s="93">
        <f t="shared" ca="1" si="22"/>
        <v>56.90588915478984</v>
      </c>
      <c r="AX20" s="93">
        <f t="shared" ca="1" si="22"/>
        <v>57.273813798741109</v>
      </c>
      <c r="AY20" s="93">
        <f t="shared" ca="1" si="22"/>
        <v>57.644132871904532</v>
      </c>
      <c r="AZ20" s="93">
        <f t="shared" ca="1" si="22"/>
        <v>63.351698316213138</v>
      </c>
      <c r="BA20" s="93">
        <f t="shared" ca="1" si="22"/>
        <v>63.716200129578553</v>
      </c>
      <c r="BB20" s="93">
        <f t="shared" ca="1" si="22"/>
        <v>64.083176393892302</v>
      </c>
      <c r="BC20" s="93">
        <f t="shared" ca="1" si="22"/>
        <v>59.058210660349403</v>
      </c>
      <c r="BD20" s="93">
        <f t="shared" ca="1" si="22"/>
        <v>59.357909245657794</v>
      </c>
      <c r="BE20" s="93">
        <f t="shared" ca="1" si="22"/>
        <v>59.65910191636096</v>
      </c>
      <c r="BF20" s="103">
        <f t="shared" ca="1" si="22"/>
        <v>59.961796147293143</v>
      </c>
      <c r="BG20" s="93">
        <f t="shared" ca="1" si="22"/>
        <v>60.265999450658498</v>
      </c>
      <c r="BH20" s="93">
        <f t="shared" ca="1" si="22"/>
        <v>60.57171937621797</v>
      </c>
      <c r="BI20" s="93">
        <f t="shared" ca="1" si="22"/>
        <v>60.878963511476819</v>
      </c>
      <c r="BJ20" s="93">
        <f t="shared" ca="1" si="22"/>
        <v>61.187739481873997</v>
      </c>
      <c r="BK20" s="93">
        <f t="shared" ca="1" si="22"/>
        <v>61.498054950970122</v>
      </c>
      <c r="BL20" s="93">
        <f t="shared" ca="1" si="22"/>
        <v>61.809917620640093</v>
      </c>
      <c r="BM20" s="93">
        <f t="shared" ca="1" si="22"/>
        <v>62.123335231263596</v>
      </c>
      <c r="BN20" s="93">
        <f t="shared" ca="1" si="22"/>
        <v>62.438315561917335</v>
      </c>
      <c r="BO20" s="93">
        <f t="shared" ca="1" si="22"/>
        <v>62.754866430570189</v>
      </c>
      <c r="BP20" s="93">
        <f t="shared" ca="1" si="22"/>
        <v>63.07299569427515</v>
      </c>
      <c r="BQ20" s="93">
        <f t="shared" ca="1" si="22"/>
        <v>63.392711249367323</v>
      </c>
      <c r="BR20" s="103">
        <f t="shared" ca="1" si="22"/>
        <v>63.714021031658469</v>
      </c>
    </row>
    <row r="21" spans="1:70" s="93" customFormat="1" x14ac:dyDescent="0.3">
      <c r="B21" s="97" t="s">
        <v>4</v>
      </c>
      <c r="E21" s="96">
        <f t="shared" ref="E21:E22" si="23">SUM(K21:V21)</f>
        <v>604.72028159254307</v>
      </c>
      <c r="F21" s="96">
        <f t="shared" ref="F21:F23" si="24">SUM(W21:AH21)</f>
        <v>615.13219227153104</v>
      </c>
      <c r="G21" s="96">
        <f t="shared" ref="G21:G23" si="25">SUM(AI21:AT21)</f>
        <v>625.72337241987066</v>
      </c>
      <c r="H21" s="96">
        <f t="shared" ref="H21:H23" si="26">SUM(AU21:BF21)</f>
        <v>636.49690865092532</v>
      </c>
      <c r="I21" s="96">
        <f t="shared" ref="I21:I23" si="27">SUM(BG21:BR21)</f>
        <v>647.45594072253516</v>
      </c>
      <c r="K21" s="94">
        <f t="shared" ref="K21" si="28">SUM(OverheadAmount)/12</f>
        <v>50</v>
      </c>
      <c r="L21" s="94">
        <f t="shared" ref="L21:AQ21" si="29">K21*(1+SUMPRODUCT(OverheadGrowth,OverheadAmount)/SUM(OverheadAmount)/12)</f>
        <v>50.07118055555555</v>
      </c>
      <c r="M21" s="94">
        <f t="shared" si="29"/>
        <v>50.142462444540882</v>
      </c>
      <c r="N21" s="94">
        <f t="shared" si="29"/>
        <v>50.2138458112154</v>
      </c>
      <c r="O21" s="94">
        <f t="shared" si="29"/>
        <v>50.285330800043859</v>
      </c>
      <c r="P21" s="94">
        <f t="shared" si="29"/>
        <v>50.356917555696697</v>
      </c>
      <c r="Q21" s="94">
        <f t="shared" si="29"/>
        <v>50.428606223050288</v>
      </c>
      <c r="R21" s="94">
        <f t="shared" si="29"/>
        <v>50.500396947187262</v>
      </c>
      <c r="S21" s="94">
        <f t="shared" si="29"/>
        <v>50.572289873396791</v>
      </c>
      <c r="T21" s="94">
        <f t="shared" si="29"/>
        <v>50.644285147174884</v>
      </c>
      <c r="U21" s="94">
        <f t="shared" si="29"/>
        <v>50.716382914224674</v>
      </c>
      <c r="V21" s="209">
        <f t="shared" si="29"/>
        <v>50.788583320456723</v>
      </c>
      <c r="W21" s="94">
        <f t="shared" si="29"/>
        <v>50.860886511989314</v>
      </c>
      <c r="X21" s="94">
        <f t="shared" si="29"/>
        <v>50.933292635148739</v>
      </c>
      <c r="Y21" s="94">
        <f t="shared" si="29"/>
        <v>51.005801836469601</v>
      </c>
      <c r="Z21" s="94">
        <f t="shared" si="29"/>
        <v>51.078414262695127</v>
      </c>
      <c r="AA21" s="94">
        <f t="shared" si="29"/>
        <v>51.151130060777433</v>
      </c>
      <c r="AB21" s="94">
        <f t="shared" si="29"/>
        <v>51.223949377877837</v>
      </c>
      <c r="AC21" s="94">
        <f t="shared" si="29"/>
        <v>51.296872361367171</v>
      </c>
      <c r="AD21" s="94">
        <f t="shared" si="29"/>
        <v>51.369899158826058</v>
      </c>
      <c r="AE21" s="94">
        <f t="shared" si="29"/>
        <v>51.443029918045212</v>
      </c>
      <c r="AF21" s="94">
        <f t="shared" si="29"/>
        <v>51.516264787025754</v>
      </c>
      <c r="AG21" s="94">
        <f t="shared" si="29"/>
        <v>51.589603913979502</v>
      </c>
      <c r="AH21" s="209">
        <f t="shared" si="29"/>
        <v>51.663047447329262</v>
      </c>
      <c r="AI21" s="94">
        <f t="shared" si="29"/>
        <v>51.736595535709135</v>
      </c>
      <c r="AJ21" s="94">
        <f t="shared" si="29"/>
        <v>51.810248327964828</v>
      </c>
      <c r="AK21" s="94">
        <f t="shared" si="29"/>
        <v>51.88400597315394</v>
      </c>
      <c r="AL21" s="94">
        <f t="shared" si="29"/>
        <v>51.957868620546272</v>
      </c>
      <c r="AM21" s="94">
        <f t="shared" si="29"/>
        <v>52.031836419624128</v>
      </c>
      <c r="AN21" s="94">
        <f t="shared" si="29"/>
        <v>52.105909520082612</v>
      </c>
      <c r="AO21" s="94">
        <f t="shared" si="29"/>
        <v>52.18008807182995</v>
      </c>
      <c r="AP21" s="94">
        <f t="shared" si="29"/>
        <v>52.254372224987755</v>
      </c>
      <c r="AQ21" s="94">
        <f t="shared" si="29"/>
        <v>52.328762129891381</v>
      </c>
      <c r="AR21" s="94">
        <f t="shared" ref="AR21:BR21" si="30">AQ21*(1+SUMPRODUCT(OverheadGrowth,OverheadAmount)/SUM(OverheadAmount)/12)</f>
        <v>52.403257937090181</v>
      </c>
      <c r="AS21" s="94">
        <f t="shared" si="30"/>
        <v>52.47785979734784</v>
      </c>
      <c r="AT21" s="209">
        <f t="shared" si="30"/>
        <v>52.552567861642672</v>
      </c>
      <c r="AU21" s="94">
        <f t="shared" si="30"/>
        <v>52.627382281167918</v>
      </c>
      <c r="AV21" s="94">
        <f t="shared" si="30"/>
        <v>52.702303207332072</v>
      </c>
      <c r="AW21" s="94">
        <f t="shared" si="30"/>
        <v>52.777330791759169</v>
      </c>
      <c r="AX21" s="94">
        <f t="shared" si="30"/>
        <v>52.852465186289102</v>
      </c>
      <c r="AY21" s="94">
        <f t="shared" si="30"/>
        <v>52.927706542977909</v>
      </c>
      <c r="AZ21" s="94">
        <f t="shared" si="30"/>
        <v>53.003055014098116</v>
      </c>
      <c r="BA21" s="94">
        <f t="shared" si="30"/>
        <v>53.078510752139017</v>
      </c>
      <c r="BB21" s="94">
        <f t="shared" si="30"/>
        <v>53.154073909806989</v>
      </c>
      <c r="BC21" s="94">
        <f t="shared" si="30"/>
        <v>53.229744640025807</v>
      </c>
      <c r="BD21" s="94">
        <f t="shared" si="30"/>
        <v>53.305523095936948</v>
      </c>
      <c r="BE21" s="94">
        <f t="shared" si="30"/>
        <v>53.381409430899907</v>
      </c>
      <c r="BF21" s="209">
        <f t="shared" si="30"/>
        <v>53.4574037984925</v>
      </c>
      <c r="BG21" s="94">
        <f t="shared" si="30"/>
        <v>53.533506352511182</v>
      </c>
      <c r="BH21" s="94">
        <f t="shared" si="30"/>
        <v>53.60971724697135</v>
      </c>
      <c r="BI21" s="94">
        <f t="shared" si="30"/>
        <v>53.686036636107659</v>
      </c>
      <c r="BJ21" s="94">
        <f t="shared" si="30"/>
        <v>53.762464674374336</v>
      </c>
      <c r="BK21" s="94">
        <f t="shared" si="30"/>
        <v>53.839001516445485</v>
      </c>
      <c r="BL21" s="94">
        <f t="shared" si="30"/>
        <v>53.915647317215416</v>
      </c>
      <c r="BM21" s="94">
        <f t="shared" si="30"/>
        <v>53.992402231798948</v>
      </c>
      <c r="BN21" s="94">
        <f t="shared" si="30"/>
        <v>54.069266415531715</v>
      </c>
      <c r="BO21" s="94">
        <f t="shared" si="30"/>
        <v>54.146240023970485</v>
      </c>
      <c r="BP21" s="94">
        <f t="shared" si="30"/>
        <v>54.22332321289349</v>
      </c>
      <c r="BQ21" s="94">
        <f t="shared" si="30"/>
        <v>54.300516138300729</v>
      </c>
      <c r="BR21" s="209">
        <f t="shared" si="30"/>
        <v>54.377818956414274</v>
      </c>
    </row>
    <row r="22" spans="1:70" s="93" customFormat="1" x14ac:dyDescent="0.3">
      <c r="B22" s="97" t="s">
        <v>5</v>
      </c>
      <c r="E22" s="96">
        <f t="shared" si="23"/>
        <v>1077.2709170306898</v>
      </c>
      <c r="F22" s="96">
        <f t="shared" si="24"/>
        <v>1559.6377733822637</v>
      </c>
      <c r="G22" s="96">
        <f t="shared" si="25"/>
        <v>1676.327186509908</v>
      </c>
      <c r="H22" s="96">
        <f t="shared" si="26"/>
        <v>1701.6456878753954</v>
      </c>
      <c r="I22" s="96">
        <f t="shared" si="27"/>
        <v>1727.3465886415211</v>
      </c>
      <c r="K22" s="94" cm="1">
        <f t="array" ref="K22">SUMPRODUCT((CompStartMonth=K$3)*CompTotal)</f>
        <v>70.426666666666662</v>
      </c>
      <c r="L22" s="94" cm="1">
        <f t="array" ref="L22">K22*(1+CompGrowth/12)+SUMPRODUCT((CompStartMonth=L$3)*CompTotal)</f>
        <v>79.714699999999993</v>
      </c>
      <c r="M22" s="94" cm="1">
        <f t="array" ref="M22">L22*(1+CompGrowth/12)+SUMPRODUCT((CompStartMonth=M$3)*CompTotal)</f>
        <v>87.787676708333322</v>
      </c>
      <c r="N22" s="94" cm="1">
        <f t="array" ref="N22">M22*(1+CompGrowth/12)+SUMPRODUCT((CompStartMonth=N$3)*CompTotal)</f>
        <v>87.897411304218735</v>
      </c>
      <c r="O22" s="94" cm="1">
        <f t="array" ref="O22">N22*(1+CompGrowth/12)+SUMPRODUCT((CompStartMonth=O$3)*CompTotal)</f>
        <v>88.007283068349011</v>
      </c>
      <c r="P22" s="94" cm="1">
        <f t="array" ref="P22">O22*(1+CompGrowth/12)+SUMPRODUCT((CompStartMonth=P$3)*CompTotal)</f>
        <v>88.117292172184449</v>
      </c>
      <c r="Q22" s="94" cm="1">
        <f t="array" ref="Q22">P22*(1+CompGrowth/12)+SUMPRODUCT((CompStartMonth=Q$3)*CompTotal)</f>
        <v>95.587438787399677</v>
      </c>
      <c r="R22" s="94" cm="1">
        <f t="array" ref="R22">Q22*(1+CompGrowth/12)+SUMPRODUCT((CompStartMonth=R$3)*CompTotal)</f>
        <v>95.706923085883929</v>
      </c>
      <c r="S22" s="94" cm="1">
        <f t="array" ref="S22">R22*(1+CompGrowth/12)+SUMPRODUCT((CompStartMonth=S$3)*CompTotal)</f>
        <v>95.826556739741278</v>
      </c>
      <c r="T22" s="94" cm="1">
        <f t="array" ref="T22">S22*(1+CompGrowth/12)+SUMPRODUCT((CompStartMonth=T$3)*CompTotal)</f>
        <v>95.946339935665947</v>
      </c>
      <c r="U22" s="94" cm="1">
        <f t="array" ref="U22">T22*(1+CompGrowth/12)+SUMPRODUCT((CompStartMonth=U$3)*CompTotal)</f>
        <v>96.066272860585528</v>
      </c>
      <c r="V22" s="209" cm="1">
        <f t="array" ref="V22">U22*(1+CompGrowth/12)+SUMPRODUCT((CompStartMonth=V$3)*CompTotal)</f>
        <v>96.186355701661256</v>
      </c>
      <c r="W22" s="94" cm="1">
        <f t="array" ref="W22">V22*(1+CompGrowth/12)+SUMPRODUCT((CompStartMonth=W$3)*CompTotal)</f>
        <v>103.66658864628833</v>
      </c>
      <c r="X22" s="94" cm="1">
        <f t="array" ref="X22">W22*(1+CompGrowth/12)+SUMPRODUCT((CompStartMonth=X$3)*CompTotal)</f>
        <v>103.79617188209619</v>
      </c>
      <c r="Y22" s="94" cm="1">
        <f t="array" ref="Y22">X22*(1+CompGrowth/12)+SUMPRODUCT((CompStartMonth=Y$3)*CompTotal)</f>
        <v>128.45925043028214</v>
      </c>
      <c r="Z22" s="94" cm="1">
        <f t="array" ref="Z22">Y22*(1+CompGrowth/12)+SUMPRODUCT((CompStartMonth=Z$3)*CompTotal)</f>
        <v>128.61982449331998</v>
      </c>
      <c r="AA22" s="94" cm="1">
        <f t="array" ref="AA22">Z22*(1+CompGrowth/12)+SUMPRODUCT((CompStartMonth=AA$3)*CompTotal)</f>
        <v>128.78059927393662</v>
      </c>
      <c r="AB22" s="94" cm="1">
        <f t="array" ref="AB22">AA22*(1+CompGrowth/12)+SUMPRODUCT((CompStartMonth=AB$3)*CompTotal)</f>
        <v>137.5282416896957</v>
      </c>
      <c r="AC22" s="94" cm="1">
        <f t="array" ref="AC22">AB22*(1+CompGrowth/12)+SUMPRODUCT((CompStartMonth=AC$3)*CompTotal)</f>
        <v>137.70015199180781</v>
      </c>
      <c r="AD22" s="94" cm="1">
        <f t="array" ref="AD22">AC22*(1+CompGrowth/12)+SUMPRODUCT((CompStartMonth=AD$3)*CompTotal)</f>
        <v>137.87227718179756</v>
      </c>
      <c r="AE22" s="94" cm="1">
        <f t="array" ref="AE22">AD22*(1+CompGrowth/12)+SUMPRODUCT((CompStartMonth=AE$3)*CompTotal)</f>
        <v>138.04461752827481</v>
      </c>
      <c r="AF22" s="94" cm="1">
        <f t="array" ref="AF22">AE22*(1+CompGrowth/12)+SUMPRODUCT((CompStartMonth=AF$3)*CompTotal)</f>
        <v>138.21717330018515</v>
      </c>
      <c r="AG22" s="94" cm="1">
        <f t="array" ref="AG22">AF22*(1+CompGrowth/12)+SUMPRODUCT((CompStartMonth=AG$3)*CompTotal)</f>
        <v>138.38994476681037</v>
      </c>
      <c r="AH22" s="209" cm="1">
        <f t="array" ref="AH22">AG22*(1+CompGrowth/12)+SUMPRODUCT((CompStartMonth=AH$3)*CompTotal)</f>
        <v>138.56293219776887</v>
      </c>
      <c r="AI22" s="94" cm="1">
        <f t="array" ref="AI22">AH22*(1+CompGrowth/12)+SUMPRODUCT((CompStartMonth=AI$3)*CompTotal)</f>
        <v>138.73613586301607</v>
      </c>
      <c r="AJ22" s="94" cm="1">
        <f t="array" ref="AJ22">AI22*(1+CompGrowth/12)+SUMPRODUCT((CompStartMonth=AJ$3)*CompTotal)</f>
        <v>138.90955603284485</v>
      </c>
      <c r="AK22" s="94" cm="1">
        <f t="array" ref="AK22">AJ22*(1+CompGrowth/12)+SUMPRODUCT((CompStartMonth=AK$3)*CompTotal)</f>
        <v>139.08319297788589</v>
      </c>
      <c r="AL22" s="94" cm="1">
        <f t="array" ref="AL22">AK22*(1+CompGrowth/12)+SUMPRODUCT((CompStartMonth=AL$3)*CompTotal)</f>
        <v>139.25704696910825</v>
      </c>
      <c r="AM22" s="94" cm="1">
        <f t="array" ref="AM22">AL22*(1+CompGrowth/12)+SUMPRODUCT((CompStartMonth=AM$3)*CompTotal)</f>
        <v>139.43111827781962</v>
      </c>
      <c r="AN22" s="94" cm="1">
        <f t="array" ref="AN22">AM22*(1+CompGrowth/12)+SUMPRODUCT((CompStartMonth=AN$3)*CompTotal)</f>
        <v>139.6054071756669</v>
      </c>
      <c r="AO22" s="94" cm="1">
        <f t="array" ref="AO22">AN22*(1+CompGrowth/12)+SUMPRODUCT((CompStartMonth=AO$3)*CompTotal)</f>
        <v>139.77991393463648</v>
      </c>
      <c r="AP22" s="94" cm="1">
        <f t="array" ref="AP22">AO22*(1+CompGrowth/12)+SUMPRODUCT((CompStartMonth=AP$3)*CompTotal)</f>
        <v>139.95463882705477</v>
      </c>
      <c r="AQ22" s="94" cm="1">
        <f t="array" ref="AQ22">AP22*(1+CompGrowth/12)+SUMPRODUCT((CompStartMonth=AQ$3)*CompTotal)</f>
        <v>140.12958212558857</v>
      </c>
      <c r="AR22" s="94" cm="1">
        <f t="array" ref="AR22">AQ22*(1+CompGrowth/12)+SUMPRODUCT((CompStartMonth=AR$3)*CompTotal)</f>
        <v>140.30474410324555</v>
      </c>
      <c r="AS22" s="94" cm="1">
        <f t="array" ref="AS22">AR22*(1+CompGrowth/12)+SUMPRODUCT((CompStartMonth=AS$3)*CompTotal)</f>
        <v>140.48012503337461</v>
      </c>
      <c r="AT22" s="209" cm="1">
        <f t="array" ref="AT22">AS22*(1+CompGrowth/12)+SUMPRODUCT((CompStartMonth=AT$3)*CompTotal)</f>
        <v>140.65572518966633</v>
      </c>
      <c r="AU22" s="94" cm="1">
        <f t="array" ref="AU22">AT22*(1+CompGrowth/12)+SUMPRODUCT((CompStartMonth=AU$3)*CompTotal)</f>
        <v>140.83154484615341</v>
      </c>
      <c r="AV22" s="94" cm="1">
        <f t="array" ref="AV22">AU22*(1+CompGrowth/12)+SUMPRODUCT((CompStartMonth=AV$3)*CompTotal)</f>
        <v>141.00758427721109</v>
      </c>
      <c r="AW22" s="94" cm="1">
        <f t="array" ref="AW22">AV22*(1+CompGrowth/12)+SUMPRODUCT((CompStartMonth=AW$3)*CompTotal)</f>
        <v>141.18384375755761</v>
      </c>
      <c r="AX22" s="94" cm="1">
        <f t="array" ref="AX22">AW22*(1+CompGrowth/12)+SUMPRODUCT((CompStartMonth=AX$3)*CompTotal)</f>
        <v>141.36032356225456</v>
      </c>
      <c r="AY22" s="94" cm="1">
        <f t="array" ref="AY22">AX22*(1+CompGrowth/12)+SUMPRODUCT((CompStartMonth=AY$3)*CompTotal)</f>
        <v>141.53702396670738</v>
      </c>
      <c r="AZ22" s="94" cm="1">
        <f t="array" ref="AZ22">AY22*(1+CompGrowth/12)+SUMPRODUCT((CompStartMonth=AZ$3)*CompTotal)</f>
        <v>141.71394524666576</v>
      </c>
      <c r="BA22" s="94" cm="1">
        <f t="array" ref="BA22">AZ22*(1+CompGrowth/12)+SUMPRODUCT((CompStartMonth=BA$3)*CompTotal)</f>
        <v>141.8910876782241</v>
      </c>
      <c r="BB22" s="94" cm="1">
        <f t="array" ref="BB22">BA22*(1+CompGrowth/12)+SUMPRODUCT((CompStartMonth=BB$3)*CompTotal)</f>
        <v>142.06845153782189</v>
      </c>
      <c r="BC22" s="94" cm="1">
        <f t="array" ref="BC22">BB22*(1+CompGrowth/12)+SUMPRODUCT((CompStartMonth=BC$3)*CompTotal)</f>
        <v>142.24603710224417</v>
      </c>
      <c r="BD22" s="94" cm="1">
        <f t="array" ref="BD22">BC22*(1+CompGrowth/12)+SUMPRODUCT((CompStartMonth=BD$3)*CompTotal)</f>
        <v>142.42384464862198</v>
      </c>
      <c r="BE22" s="94" cm="1">
        <f t="array" ref="BE22">BD22*(1+CompGrowth/12)+SUMPRODUCT((CompStartMonth=BE$3)*CompTotal)</f>
        <v>142.60187445443276</v>
      </c>
      <c r="BF22" s="209" cm="1">
        <f t="array" ref="BF22">BE22*(1+CompGrowth/12)+SUMPRODUCT((CompStartMonth=BF$3)*CompTotal)</f>
        <v>142.7801267975008</v>
      </c>
      <c r="BG22" s="94" cm="1">
        <f t="array" ref="BG22">BF22*(1+CompGrowth/12)+SUMPRODUCT((CompStartMonth=BG$3)*CompTotal)</f>
        <v>142.95860195599766</v>
      </c>
      <c r="BH22" s="94" cm="1">
        <f t="array" ref="BH22">BG22*(1+CompGrowth/12)+SUMPRODUCT((CompStartMonth=BH$3)*CompTotal)</f>
        <v>143.13730020844267</v>
      </c>
      <c r="BI22" s="94" cm="1">
        <f t="array" ref="BI22">BH22*(1+CompGrowth/12)+SUMPRODUCT((CompStartMonth=BI$3)*CompTotal)</f>
        <v>143.31622183370322</v>
      </c>
      <c r="BJ22" s="94" cm="1">
        <f t="array" ref="BJ22">BI22*(1+CompGrowth/12)+SUMPRODUCT((CompStartMonth=BJ$3)*CompTotal)</f>
        <v>143.49536711099535</v>
      </c>
      <c r="BK22" s="94" cm="1">
        <f t="array" ref="BK22">BJ22*(1+CompGrowth/12)+SUMPRODUCT((CompStartMonth=BK$3)*CompTotal)</f>
        <v>143.67473631988409</v>
      </c>
      <c r="BL22" s="94" cm="1">
        <f t="array" ref="BL22">BK22*(1+CompGrowth/12)+SUMPRODUCT((CompStartMonth=BL$3)*CompTotal)</f>
        <v>143.85432974028393</v>
      </c>
      <c r="BM22" s="94" cm="1">
        <f t="array" ref="BM22">BL22*(1+CompGrowth/12)+SUMPRODUCT((CompStartMonth=BM$3)*CompTotal)</f>
        <v>144.03414765245927</v>
      </c>
      <c r="BN22" s="94" cm="1">
        <f t="array" ref="BN22">BM22*(1+CompGrowth/12)+SUMPRODUCT((CompStartMonth=BN$3)*CompTotal)</f>
        <v>144.21419033702483</v>
      </c>
      <c r="BO22" s="94" cm="1">
        <f t="array" ref="BO22">BN22*(1+CompGrowth/12)+SUMPRODUCT((CompStartMonth=BO$3)*CompTotal)</f>
        <v>144.3944580749461</v>
      </c>
      <c r="BP22" s="94" cm="1">
        <f t="array" ref="BP22">BO22*(1+CompGrowth/12)+SUMPRODUCT((CompStartMonth=BP$3)*CompTotal)</f>
        <v>144.57495114753979</v>
      </c>
      <c r="BQ22" s="94" cm="1">
        <f t="array" ref="BQ22">BP22*(1+CompGrowth/12)+SUMPRODUCT((CompStartMonth=BQ$3)*CompTotal)</f>
        <v>144.75566983647423</v>
      </c>
      <c r="BR22" s="209" cm="1">
        <f t="array" ref="BR22">BQ22*(1+CompGrowth/12)+SUMPRODUCT((CompStartMonth=BR$3)*CompTotal)</f>
        <v>144.93661442376981</v>
      </c>
    </row>
    <row r="23" spans="1:70" s="93" customFormat="1" x14ac:dyDescent="0.3">
      <c r="A23" s="2"/>
      <c r="B23" s="114" t="s">
        <v>112</v>
      </c>
      <c r="E23" s="115">
        <f>SUM(K23:V23)</f>
        <v>223.33333333333334</v>
      </c>
      <c r="F23" s="115">
        <f t="shared" si="24"/>
        <v>84.074074074074076</v>
      </c>
      <c r="G23" s="115">
        <f t="shared" si="25"/>
        <v>0</v>
      </c>
      <c r="H23" s="115">
        <f t="shared" si="26"/>
        <v>0</v>
      </c>
      <c r="I23" s="115">
        <f t="shared" si="27"/>
        <v>0</v>
      </c>
      <c r="K23" s="99">
        <f>CapEx!K19</f>
        <v>4</v>
      </c>
      <c r="L23" s="99">
        <f>CapEx!L19</f>
        <v>4</v>
      </c>
      <c r="M23" s="99">
        <f>CapEx!M19</f>
        <v>4</v>
      </c>
      <c r="N23" s="99">
        <f>CapEx!N19</f>
        <v>13.25925925925926</v>
      </c>
      <c r="O23" s="99">
        <f>CapEx!O19</f>
        <v>13.25925925925926</v>
      </c>
      <c r="P23" s="99">
        <f>CapEx!P19</f>
        <v>20.402116402116402</v>
      </c>
      <c r="Q23" s="99">
        <f>CapEx!Q19</f>
        <v>20.402116402116402</v>
      </c>
      <c r="R23" s="99">
        <f>CapEx!R19</f>
        <v>37.06878306878307</v>
      </c>
      <c r="S23" s="99">
        <f>CapEx!S19</f>
        <v>37.06878306878307</v>
      </c>
      <c r="T23" s="99">
        <f>CapEx!T19</f>
        <v>37.06878306878307</v>
      </c>
      <c r="U23" s="99">
        <f>CapEx!U19</f>
        <v>16.402116402116402</v>
      </c>
      <c r="V23" s="115">
        <f>CapEx!V19</f>
        <v>16.402116402116402</v>
      </c>
      <c r="W23" s="99">
        <f>CapEx!W19</f>
        <v>9.2592592592592595</v>
      </c>
      <c r="X23" s="99">
        <f>CapEx!X19</f>
        <v>9.2592592592592595</v>
      </c>
      <c r="Y23" s="99">
        <f>CapEx!Y19</f>
        <v>9.2592592592592595</v>
      </c>
      <c r="Z23" s="99">
        <f>CapEx!Z19</f>
        <v>9.2592592592592595</v>
      </c>
      <c r="AA23" s="99">
        <f>CapEx!AA19</f>
        <v>9.2592592592592595</v>
      </c>
      <c r="AB23" s="99">
        <f>CapEx!AB19</f>
        <v>12.592592592592593</v>
      </c>
      <c r="AC23" s="99">
        <f>CapEx!AC19</f>
        <v>12.592592592592593</v>
      </c>
      <c r="AD23" s="99">
        <f>CapEx!AD19</f>
        <v>12.592592592592593</v>
      </c>
      <c r="AE23" s="99">
        <f>CapEx!AE19</f>
        <v>0</v>
      </c>
      <c r="AF23" s="99">
        <f>CapEx!AF19</f>
        <v>0</v>
      </c>
      <c r="AG23" s="99">
        <f>CapEx!AG19</f>
        <v>0</v>
      </c>
      <c r="AH23" s="115">
        <f>CapEx!AH19</f>
        <v>0</v>
      </c>
      <c r="AI23" s="99">
        <f>CapEx!AI19</f>
        <v>0</v>
      </c>
      <c r="AJ23" s="99">
        <f>CapEx!AJ19</f>
        <v>0</v>
      </c>
      <c r="AK23" s="99">
        <f>CapEx!AK19</f>
        <v>0</v>
      </c>
      <c r="AL23" s="99">
        <f>CapEx!AL19</f>
        <v>0</v>
      </c>
      <c r="AM23" s="99">
        <f>CapEx!AM19</f>
        <v>0</v>
      </c>
      <c r="AN23" s="99">
        <f>CapEx!AN19</f>
        <v>0</v>
      </c>
      <c r="AO23" s="99">
        <f>CapEx!AO19</f>
        <v>0</v>
      </c>
      <c r="AP23" s="99">
        <f>CapEx!AP19</f>
        <v>0</v>
      </c>
      <c r="AQ23" s="99">
        <f>CapEx!AQ19</f>
        <v>0</v>
      </c>
      <c r="AR23" s="99">
        <f>CapEx!AR19</f>
        <v>0</v>
      </c>
      <c r="AS23" s="99">
        <f>CapEx!AS19</f>
        <v>0</v>
      </c>
      <c r="AT23" s="115">
        <f>CapEx!AT19</f>
        <v>0</v>
      </c>
      <c r="AU23" s="99">
        <f>CapEx!AU19</f>
        <v>0</v>
      </c>
      <c r="AV23" s="99">
        <f>CapEx!AV19</f>
        <v>0</v>
      </c>
      <c r="AW23" s="99">
        <f>CapEx!AW19</f>
        <v>0</v>
      </c>
      <c r="AX23" s="99">
        <f>CapEx!AX19</f>
        <v>0</v>
      </c>
      <c r="AY23" s="99">
        <f>CapEx!AY19</f>
        <v>0</v>
      </c>
      <c r="AZ23" s="99">
        <f>CapEx!AZ19</f>
        <v>0</v>
      </c>
      <c r="BA23" s="99">
        <f>CapEx!BA19</f>
        <v>0</v>
      </c>
      <c r="BB23" s="99">
        <f>CapEx!BB19</f>
        <v>0</v>
      </c>
      <c r="BC23" s="99">
        <f>CapEx!BC19</f>
        <v>0</v>
      </c>
      <c r="BD23" s="99">
        <f>CapEx!BD19</f>
        <v>0</v>
      </c>
      <c r="BE23" s="99">
        <f>CapEx!BE19</f>
        <v>0</v>
      </c>
      <c r="BF23" s="115">
        <f>CapEx!BF19</f>
        <v>0</v>
      </c>
      <c r="BG23" s="99">
        <f>CapEx!BG19</f>
        <v>0</v>
      </c>
      <c r="BH23" s="99">
        <f>CapEx!BH19</f>
        <v>0</v>
      </c>
      <c r="BI23" s="99">
        <f>CapEx!BI19</f>
        <v>0</v>
      </c>
      <c r="BJ23" s="99">
        <f>CapEx!BJ19</f>
        <v>0</v>
      </c>
      <c r="BK23" s="99">
        <f>CapEx!BK19</f>
        <v>0</v>
      </c>
      <c r="BL23" s="99">
        <f>CapEx!BL19</f>
        <v>0</v>
      </c>
      <c r="BM23" s="99">
        <f>CapEx!BM19</f>
        <v>0</v>
      </c>
      <c r="BN23" s="99">
        <f>CapEx!BN19</f>
        <v>0</v>
      </c>
      <c r="BO23" s="99">
        <f>CapEx!BO19</f>
        <v>0</v>
      </c>
      <c r="BP23" s="99">
        <f>CapEx!BP19</f>
        <v>0</v>
      </c>
      <c r="BQ23" s="99">
        <f>CapEx!BQ19</f>
        <v>0</v>
      </c>
      <c r="BR23" s="115">
        <f>CapEx!BR19</f>
        <v>0</v>
      </c>
    </row>
    <row r="24" spans="1:70" s="103" customFormat="1" x14ac:dyDescent="0.3">
      <c r="A24" s="2"/>
      <c r="B24" s="101" t="s">
        <v>113</v>
      </c>
      <c r="C24" s="102"/>
      <c r="D24" s="102"/>
      <c r="E24" s="103">
        <f ca="1">SUM(K24:V24)</f>
        <v>-818.50506299985182</v>
      </c>
      <c r="F24" s="103">
        <f ca="1">SUM(W24:AH24)</f>
        <v>603.88975520970268</v>
      </c>
      <c r="G24" s="103">
        <f ca="1">SUM(AI24:AT24)</f>
        <v>633.73050448401568</v>
      </c>
      <c r="H24" s="103">
        <f ca="1">SUM(AU24:BF24)</f>
        <v>1091.568130566347</v>
      </c>
      <c r="I24" s="103">
        <f ca="1">SUM(BG24:BR24)</f>
        <v>1418.8330347516776</v>
      </c>
      <c r="K24" s="93">
        <f t="shared" ref="K24:AP24" ca="1" si="31">K14-SUM(K15,K20:K23)</f>
        <v>-208.41038142908133</v>
      </c>
      <c r="L24" s="93">
        <f t="shared" ca="1" si="31"/>
        <v>-183.87311957660521</v>
      </c>
      <c r="M24" s="93">
        <f t="shared" ca="1" si="31"/>
        <v>-159.38225585505592</v>
      </c>
      <c r="N24" s="93">
        <f t="shared" ca="1" si="31"/>
        <v>-79.151415615263289</v>
      </c>
      <c r="O24" s="93">
        <f t="shared" ca="1" si="31"/>
        <v>-60.742649188001337</v>
      </c>
      <c r="P24" s="93">
        <f t="shared" ca="1" si="31"/>
        <v>-50.245246770586277</v>
      </c>
      <c r="Q24" s="93">
        <f t="shared" ca="1" si="31"/>
        <v>-41.316767148024212</v>
      </c>
      <c r="R24" s="93">
        <f t="shared" ca="1" si="31"/>
        <v>-41.869893366285254</v>
      </c>
      <c r="S24" s="93">
        <f t="shared" ca="1" si="31"/>
        <v>-26.773072423500594</v>
      </c>
      <c r="T24" s="93">
        <f t="shared" ca="1" si="31"/>
        <v>-14.147092686411838</v>
      </c>
      <c r="U24" s="93">
        <f t="shared" ca="1" si="31"/>
        <v>18.249807825434573</v>
      </c>
      <c r="V24" s="102">
        <f t="shared" ca="1" si="31"/>
        <v>29.15702323352906</v>
      </c>
      <c r="W24" s="93">
        <f t="shared" ca="1" si="31"/>
        <v>38.976281329386893</v>
      </c>
      <c r="X24" s="93">
        <f t="shared" ca="1" si="31"/>
        <v>48.923423462185468</v>
      </c>
      <c r="Y24" s="93">
        <f t="shared" ca="1" si="31"/>
        <v>33.475650674983456</v>
      </c>
      <c r="Z24" s="93">
        <f t="shared" ca="1" si="31"/>
        <v>41.569385316444482</v>
      </c>
      <c r="AA24" s="93">
        <f t="shared" ca="1" si="31"/>
        <v>48.761119852426759</v>
      </c>
      <c r="AB24" s="93">
        <f t="shared" ca="1" si="31"/>
        <v>43.110338056597413</v>
      </c>
      <c r="AC24" s="93">
        <f t="shared" ca="1" si="31"/>
        <v>43.298473152280053</v>
      </c>
      <c r="AD24" s="93">
        <f t="shared" ca="1" si="31"/>
        <v>48.573489457810751</v>
      </c>
      <c r="AE24" s="93">
        <f t="shared" ca="1" si="31"/>
        <v>62.825709204794123</v>
      </c>
      <c r="AF24" s="93">
        <f t="shared" ca="1" si="31"/>
        <v>63.760689833963397</v>
      </c>
      <c r="AG24" s="93">
        <f t="shared" ca="1" si="31"/>
        <v>64.767319292193463</v>
      </c>
      <c r="AH24" s="102">
        <f t="shared" ca="1" si="31"/>
        <v>65.847875576636397</v>
      </c>
      <c r="AI24" s="93">
        <f t="shared" ca="1" si="31"/>
        <v>67.004690934013979</v>
      </c>
      <c r="AJ24" s="93">
        <f t="shared" ca="1" si="31"/>
        <v>26.675267676578699</v>
      </c>
      <c r="AK24" s="93">
        <f t="shared" ca="1" si="31"/>
        <v>30.085760058862661</v>
      </c>
      <c r="AL24" s="93">
        <f t="shared" ca="1" si="31"/>
        <v>33.604565740595206</v>
      </c>
      <c r="AM24" s="93">
        <f t="shared" ca="1" si="31"/>
        <v>32.686071061174687</v>
      </c>
      <c r="AN24" s="93">
        <f t="shared" ca="1" si="31"/>
        <v>54.24174352349155</v>
      </c>
      <c r="AO24" s="93">
        <f t="shared" ca="1" si="31"/>
        <v>57.239708941430024</v>
      </c>
      <c r="AP24" s="93">
        <f t="shared" ca="1" si="31"/>
        <v>60.266633786206285</v>
      </c>
      <c r="AQ24" s="93">
        <f t="shared" ref="AQ24:BR24" ca="1" si="32">AQ14-SUM(AQ15,AQ20:AQ23)</f>
        <v>63.322832644946061</v>
      </c>
      <c r="AR24" s="93">
        <f t="shared" ca="1" si="32"/>
        <v>66.408623901409896</v>
      </c>
      <c r="AS24" s="93">
        <f t="shared" ca="1" si="32"/>
        <v>69.524329786405474</v>
      </c>
      <c r="AT24" s="102">
        <f t="shared" ca="1" si="32"/>
        <v>72.670276428901218</v>
      </c>
      <c r="AU24" s="93">
        <f t="shared" ca="1" si="32"/>
        <v>75.846793907852998</v>
      </c>
      <c r="AV24" s="93">
        <f t="shared" ca="1" si="32"/>
        <v>79.054216304753197</v>
      </c>
      <c r="AW24" s="93">
        <f t="shared" ca="1" si="32"/>
        <v>82.292881756913346</v>
      </c>
      <c r="AX24" s="93">
        <f t="shared" ca="1" si="32"/>
        <v>85.563132511487765</v>
      </c>
      <c r="AY24" s="93">
        <f t="shared" ca="1" si="32"/>
        <v>88.88156498025586</v>
      </c>
      <c r="AZ24" s="93">
        <f t="shared" ca="1" si="32"/>
        <v>87.096423278942154</v>
      </c>
      <c r="BA24" s="93">
        <f t="shared" ca="1" si="32"/>
        <v>90.016610644929244</v>
      </c>
      <c r="BB24" s="93">
        <f t="shared" ca="1" si="32"/>
        <v>92.969207811979516</v>
      </c>
      <c r="BC24" s="93">
        <f t="shared" ca="1" si="32"/>
        <v>99.619519783539488</v>
      </c>
      <c r="BD24" s="93">
        <f t="shared" ca="1" si="32"/>
        <v>101.50469053944425</v>
      </c>
      <c r="BE24" s="93">
        <f t="shared" ca="1" si="32"/>
        <v>103.40438752365861</v>
      </c>
      <c r="BF24" s="102">
        <f t="shared" ca="1" si="32"/>
        <v>105.31870152259063</v>
      </c>
      <c r="BG24" s="93">
        <f t="shared" ca="1" si="32"/>
        <v>107.24772383681659</v>
      </c>
      <c r="BH24" s="93">
        <f t="shared" ca="1" si="32"/>
        <v>109.19154628384939</v>
      </c>
      <c r="BI24" s="93">
        <f t="shared" ca="1" si="32"/>
        <v>111.15026120092273</v>
      </c>
      <c r="BJ24" s="93">
        <f t="shared" ca="1" si="32"/>
        <v>113.12396144778836</v>
      </c>
      <c r="BK24" s="93">
        <f t="shared" ca="1" si="32"/>
        <v>115.11274040953072</v>
      </c>
      <c r="BL24" s="93">
        <f t="shared" ca="1" si="32"/>
        <v>117.11669199939217</v>
      </c>
      <c r="BM24" s="93">
        <f t="shared" ca="1" si="32"/>
        <v>119.13591066161661</v>
      </c>
      <c r="BN24" s="93">
        <f t="shared" ca="1" si="32"/>
        <v>121.21924137430653</v>
      </c>
      <c r="BO24" s="93">
        <f t="shared" ca="1" si="32"/>
        <v>123.26943808979382</v>
      </c>
      <c r="BP24" s="93">
        <f t="shared" ca="1" si="32"/>
        <v>125.33518893995108</v>
      </c>
      <c r="BQ24" s="93">
        <f t="shared" ca="1" si="32"/>
        <v>127.41659052342072</v>
      </c>
      <c r="BR24" s="102">
        <f t="shared" ca="1" si="32"/>
        <v>129.51373998428869</v>
      </c>
    </row>
    <row r="25" spans="1:70" s="105" customFormat="1" ht="6" customHeight="1" x14ac:dyDescent="0.3">
      <c r="A25" s="6"/>
      <c r="B25" s="104"/>
      <c r="E25" s="294"/>
      <c r="F25" s="294"/>
      <c r="G25" s="294"/>
      <c r="H25" s="294"/>
      <c r="I25" s="294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</row>
    <row r="26" spans="1:70" s="93" customFormat="1" x14ac:dyDescent="0.3">
      <c r="A26" s="14"/>
      <c r="B26" s="97" t="s">
        <v>200</v>
      </c>
      <c r="E26" s="96">
        <f t="shared" ref="E26:E28" si="33">SUM(K26:V26)</f>
        <v>-32</v>
      </c>
      <c r="F26" s="96">
        <f t="shared" ref="F26:F28" si="34">SUM(W26:AH26)</f>
        <v>82.407407407407419</v>
      </c>
      <c r="G26" s="96">
        <f>SUM(AI26:AT26)</f>
        <v>0</v>
      </c>
      <c r="H26" s="96">
        <f t="shared" ref="H26:H28" si="35">SUM(AU26:BF26)</f>
        <v>5</v>
      </c>
      <c r="I26" s="96">
        <f t="shared" ref="I26:I28" si="36">SUM(BG26:BR26)</f>
        <v>15</v>
      </c>
      <c r="K26" s="94">
        <f>CapEx!K48</f>
        <v>0</v>
      </c>
      <c r="L26" s="94">
        <f>CapEx!L48</f>
        <v>0</v>
      </c>
      <c r="M26" s="94">
        <f>CapEx!M48</f>
        <v>0</v>
      </c>
      <c r="N26" s="94">
        <f>CapEx!N48</f>
        <v>0</v>
      </c>
      <c r="O26" s="94">
        <f>CapEx!O48</f>
        <v>0</v>
      </c>
      <c r="P26" s="94">
        <f>CapEx!P48</f>
        <v>0</v>
      </c>
      <c r="Q26" s="94">
        <f>CapEx!Q48</f>
        <v>0</v>
      </c>
      <c r="R26" s="94">
        <f>CapEx!R48</f>
        <v>0</v>
      </c>
      <c r="S26" s="94">
        <f>CapEx!S48</f>
        <v>0</v>
      </c>
      <c r="T26" s="94">
        <f>CapEx!T48</f>
        <v>0</v>
      </c>
      <c r="U26" s="94">
        <f>CapEx!U48</f>
        <v>0</v>
      </c>
      <c r="V26" s="96">
        <f>CapEx!V48</f>
        <v>-32</v>
      </c>
      <c r="W26" s="94">
        <f>CapEx!W48</f>
        <v>0</v>
      </c>
      <c r="X26" s="94">
        <f>CapEx!X48</f>
        <v>0</v>
      </c>
      <c r="Y26" s="94">
        <f>CapEx!Y48</f>
        <v>0</v>
      </c>
      <c r="Z26" s="94">
        <f>CapEx!Z48</f>
        <v>0</v>
      </c>
      <c r="AA26" s="94">
        <f>CapEx!AA48</f>
        <v>0</v>
      </c>
      <c r="AB26" s="94">
        <f>CapEx!AB48</f>
        <v>0</v>
      </c>
      <c r="AC26" s="94">
        <f>CapEx!AC48</f>
        <v>0</v>
      </c>
      <c r="AD26" s="94">
        <f>CapEx!AD48</f>
        <v>82.407407407407419</v>
      </c>
      <c r="AE26" s="94">
        <f>CapEx!AE48</f>
        <v>0</v>
      </c>
      <c r="AF26" s="94">
        <f>CapEx!AF48</f>
        <v>0</v>
      </c>
      <c r="AG26" s="94">
        <f>CapEx!AG48</f>
        <v>0</v>
      </c>
      <c r="AH26" s="96">
        <f>CapEx!AH48</f>
        <v>0</v>
      </c>
      <c r="AI26" s="94">
        <f>CapEx!AI48</f>
        <v>0</v>
      </c>
      <c r="AJ26" s="94">
        <f>CapEx!AJ48</f>
        <v>0</v>
      </c>
      <c r="AK26" s="94">
        <f>CapEx!AK48</f>
        <v>0</v>
      </c>
      <c r="AL26" s="94">
        <f>CapEx!AL48</f>
        <v>0</v>
      </c>
      <c r="AM26" s="94">
        <f>CapEx!AM48</f>
        <v>0</v>
      </c>
      <c r="AN26" s="94">
        <f>CapEx!AN48</f>
        <v>0</v>
      </c>
      <c r="AO26" s="94">
        <f>CapEx!AO48</f>
        <v>0</v>
      </c>
      <c r="AP26" s="94">
        <f>CapEx!AP48</f>
        <v>0</v>
      </c>
      <c r="AQ26" s="94">
        <f>CapEx!AQ48</f>
        <v>0</v>
      </c>
      <c r="AR26" s="94">
        <f>CapEx!AR48</f>
        <v>0</v>
      </c>
      <c r="AS26" s="94">
        <f>CapEx!AS48</f>
        <v>0</v>
      </c>
      <c r="AT26" s="96">
        <f>CapEx!AT48</f>
        <v>0</v>
      </c>
      <c r="AU26" s="94">
        <f>CapEx!AU48</f>
        <v>0</v>
      </c>
      <c r="AV26" s="94">
        <f>CapEx!AV48</f>
        <v>0</v>
      </c>
      <c r="AW26" s="94">
        <f>CapEx!AW48</f>
        <v>0</v>
      </c>
      <c r="AX26" s="94">
        <f>CapEx!AX48</f>
        <v>5</v>
      </c>
      <c r="AY26" s="94">
        <f>CapEx!AY48</f>
        <v>0</v>
      </c>
      <c r="AZ26" s="94">
        <f>CapEx!AZ48</f>
        <v>0</v>
      </c>
      <c r="BA26" s="94">
        <f>CapEx!BA48</f>
        <v>0</v>
      </c>
      <c r="BB26" s="94">
        <f>CapEx!BB48</f>
        <v>0</v>
      </c>
      <c r="BC26" s="94">
        <f>CapEx!BC48</f>
        <v>0</v>
      </c>
      <c r="BD26" s="94">
        <f>CapEx!BD48</f>
        <v>0</v>
      </c>
      <c r="BE26" s="94">
        <f>CapEx!BE48</f>
        <v>0</v>
      </c>
      <c r="BF26" s="96">
        <f>CapEx!BF48</f>
        <v>0</v>
      </c>
      <c r="BG26" s="94">
        <f>CapEx!BG48</f>
        <v>0</v>
      </c>
      <c r="BH26" s="94">
        <f>CapEx!BH48</f>
        <v>0</v>
      </c>
      <c r="BI26" s="94">
        <f>CapEx!BI48</f>
        <v>0</v>
      </c>
      <c r="BJ26" s="94">
        <f>CapEx!BJ48</f>
        <v>0</v>
      </c>
      <c r="BK26" s="94">
        <f>CapEx!BK48</f>
        <v>0</v>
      </c>
      <c r="BL26" s="94">
        <f>CapEx!BL48</f>
        <v>0</v>
      </c>
      <c r="BM26" s="94">
        <f>CapEx!BM48</f>
        <v>15</v>
      </c>
      <c r="BN26" s="94">
        <f>CapEx!BN48</f>
        <v>0</v>
      </c>
      <c r="BO26" s="94">
        <f>CapEx!BO48</f>
        <v>0</v>
      </c>
      <c r="BP26" s="94">
        <f>CapEx!BP48</f>
        <v>0</v>
      </c>
      <c r="BQ26" s="94">
        <f>CapEx!BQ48</f>
        <v>0</v>
      </c>
      <c r="BR26" s="96">
        <f>CapEx!BR48</f>
        <v>0</v>
      </c>
    </row>
    <row r="27" spans="1:70" s="93" customFormat="1" x14ac:dyDescent="0.3">
      <c r="A27" s="14"/>
      <c r="B27" s="97" t="s">
        <v>114</v>
      </c>
      <c r="E27" s="96">
        <f t="shared" si="33"/>
        <v>1.9750000000000003</v>
      </c>
      <c r="F27" s="96">
        <f t="shared" si="34"/>
        <v>3.5999999999999992</v>
      </c>
      <c r="G27" s="96">
        <f t="shared" ref="G27:G28" si="37">SUM(AI27:AT27)</f>
        <v>3.5999999999999992</v>
      </c>
      <c r="H27" s="96">
        <f t="shared" si="35"/>
        <v>3.5999999999999992</v>
      </c>
      <c r="I27" s="96">
        <f t="shared" si="36"/>
        <v>3.5999999999999992</v>
      </c>
      <c r="K27" s="94">
        <f>RateShort/12*Balance!K22</f>
        <v>0.05</v>
      </c>
      <c r="L27" s="94">
        <f>RateShort/12*Balance!L22</f>
        <v>0.05</v>
      </c>
      <c r="M27" s="94">
        <f>RateShort/12*Balance!M22</f>
        <v>0.05</v>
      </c>
      <c r="N27" s="94">
        <f>RateShort/12*Balance!N22</f>
        <v>0.05</v>
      </c>
      <c r="O27" s="94">
        <f>RateShort/12*Balance!O22</f>
        <v>0.05</v>
      </c>
      <c r="P27" s="94">
        <f>RateShort/12*Balance!P22</f>
        <v>0.17500000000000002</v>
      </c>
      <c r="Q27" s="94">
        <f>RateShort/12*Balance!Q22</f>
        <v>0.17500000000000002</v>
      </c>
      <c r="R27" s="94">
        <f>RateShort/12*Balance!R22</f>
        <v>0.17500000000000002</v>
      </c>
      <c r="S27" s="94">
        <f>RateShort/12*Balance!S22</f>
        <v>0.3</v>
      </c>
      <c r="T27" s="94">
        <f>RateShort/12*Balance!T22</f>
        <v>0.3</v>
      </c>
      <c r="U27" s="94">
        <f>RateShort/12*Balance!U22</f>
        <v>0.3</v>
      </c>
      <c r="V27" s="96">
        <f>RateShort/12*Balance!V22</f>
        <v>0.3</v>
      </c>
      <c r="W27" s="94">
        <f>RateShort/12*Balance!W22</f>
        <v>0.3</v>
      </c>
      <c r="X27" s="94">
        <f>RateShort/12*Balance!X22</f>
        <v>0.3</v>
      </c>
      <c r="Y27" s="94">
        <f>RateShort/12*Balance!Y22</f>
        <v>0.3</v>
      </c>
      <c r="Z27" s="94">
        <f>RateShort/12*Balance!Z22</f>
        <v>0.3</v>
      </c>
      <c r="AA27" s="94">
        <f>RateShort/12*Balance!AA22</f>
        <v>0.3</v>
      </c>
      <c r="AB27" s="94">
        <f>RateShort/12*Balance!AB22</f>
        <v>0.3</v>
      </c>
      <c r="AC27" s="94">
        <f>RateShort/12*Balance!AC22</f>
        <v>0.3</v>
      </c>
      <c r="AD27" s="94">
        <f>RateShort/12*Balance!AD22</f>
        <v>0.3</v>
      </c>
      <c r="AE27" s="94">
        <f>RateShort/12*Balance!AE22</f>
        <v>0.3</v>
      </c>
      <c r="AF27" s="94">
        <f>RateShort/12*Balance!AF22</f>
        <v>0.3</v>
      </c>
      <c r="AG27" s="94">
        <f>RateShort/12*Balance!AG22</f>
        <v>0.3</v>
      </c>
      <c r="AH27" s="96">
        <f>RateShort/12*Balance!AH22</f>
        <v>0.3</v>
      </c>
      <c r="AI27" s="94">
        <f>RateShort/12*Balance!AI22</f>
        <v>0.3</v>
      </c>
      <c r="AJ27" s="94">
        <f>RateShort/12*Balance!AJ22</f>
        <v>0.3</v>
      </c>
      <c r="AK27" s="94">
        <f>RateShort/12*Balance!AK22</f>
        <v>0.3</v>
      </c>
      <c r="AL27" s="94">
        <f>RateShort/12*Balance!AL22</f>
        <v>0.3</v>
      </c>
      <c r="AM27" s="94">
        <f>RateShort/12*Balance!AM22</f>
        <v>0.3</v>
      </c>
      <c r="AN27" s="94">
        <f>RateShort/12*Balance!AN22</f>
        <v>0.3</v>
      </c>
      <c r="AO27" s="94">
        <f>RateShort/12*Balance!AO22</f>
        <v>0.3</v>
      </c>
      <c r="AP27" s="94">
        <f>RateShort/12*Balance!AP22</f>
        <v>0.3</v>
      </c>
      <c r="AQ27" s="94">
        <f>RateShort/12*Balance!AQ22</f>
        <v>0.3</v>
      </c>
      <c r="AR27" s="94">
        <f>RateShort/12*Balance!AR22</f>
        <v>0.3</v>
      </c>
      <c r="AS27" s="94">
        <f>RateShort/12*Balance!AS22</f>
        <v>0.3</v>
      </c>
      <c r="AT27" s="96">
        <f>RateShort/12*Balance!AT22</f>
        <v>0.3</v>
      </c>
      <c r="AU27" s="94">
        <f>RateShort/12*Balance!AU22</f>
        <v>0.3</v>
      </c>
      <c r="AV27" s="94">
        <f>RateShort/12*Balance!AV22</f>
        <v>0.3</v>
      </c>
      <c r="AW27" s="94">
        <f>RateShort/12*Balance!AW22</f>
        <v>0.3</v>
      </c>
      <c r="AX27" s="94">
        <f>RateShort/12*Balance!AX22</f>
        <v>0.3</v>
      </c>
      <c r="AY27" s="94">
        <f>RateShort/12*Balance!AY22</f>
        <v>0.3</v>
      </c>
      <c r="AZ27" s="94">
        <f>RateShort/12*Balance!AZ22</f>
        <v>0.3</v>
      </c>
      <c r="BA27" s="94">
        <f>RateShort/12*Balance!BA22</f>
        <v>0.3</v>
      </c>
      <c r="BB27" s="94">
        <f>RateShort/12*Balance!BB22</f>
        <v>0.3</v>
      </c>
      <c r="BC27" s="94">
        <f>RateShort/12*Balance!BC22</f>
        <v>0.3</v>
      </c>
      <c r="BD27" s="94">
        <f>RateShort/12*Balance!BD22</f>
        <v>0.3</v>
      </c>
      <c r="BE27" s="94">
        <f>RateShort/12*Balance!BE22</f>
        <v>0.3</v>
      </c>
      <c r="BF27" s="96">
        <f>RateShort/12*Balance!BF22</f>
        <v>0.3</v>
      </c>
      <c r="BG27" s="94">
        <f>RateShort/12*Balance!BG22</f>
        <v>0.3</v>
      </c>
      <c r="BH27" s="94">
        <f>RateShort/12*Balance!BH22</f>
        <v>0.3</v>
      </c>
      <c r="BI27" s="94">
        <f>RateShort/12*Balance!BI22</f>
        <v>0.3</v>
      </c>
      <c r="BJ27" s="94">
        <f>RateShort/12*Balance!BJ22</f>
        <v>0.3</v>
      </c>
      <c r="BK27" s="94">
        <f>RateShort/12*Balance!BK22</f>
        <v>0.3</v>
      </c>
      <c r="BL27" s="94">
        <f>RateShort/12*Balance!BL22</f>
        <v>0.3</v>
      </c>
      <c r="BM27" s="94">
        <f>RateShort/12*Balance!BM22</f>
        <v>0.3</v>
      </c>
      <c r="BN27" s="94">
        <f>RateShort/12*Balance!BN22</f>
        <v>0.3</v>
      </c>
      <c r="BO27" s="94">
        <f>RateShort/12*Balance!BO22</f>
        <v>0.3</v>
      </c>
      <c r="BP27" s="94">
        <f>RateShort/12*Balance!BP22</f>
        <v>0.3</v>
      </c>
      <c r="BQ27" s="94">
        <f>RateShort/12*Balance!BQ22</f>
        <v>0.3</v>
      </c>
      <c r="BR27" s="96">
        <f>RateShort/12*Balance!BR22</f>
        <v>0.3</v>
      </c>
    </row>
    <row r="28" spans="1:70" s="93" customFormat="1" x14ac:dyDescent="0.3">
      <c r="A28" s="14"/>
      <c r="B28" s="97" t="s">
        <v>115</v>
      </c>
      <c r="E28" s="96">
        <f t="shared" si="33"/>
        <v>6.9999999999999991</v>
      </c>
      <c r="F28" s="96">
        <f t="shared" si="34"/>
        <v>6.9999999999999991</v>
      </c>
      <c r="G28" s="96">
        <f t="shared" si="37"/>
        <v>6.9999999999999991</v>
      </c>
      <c r="H28" s="96">
        <f t="shared" si="35"/>
        <v>6.9999999999999991</v>
      </c>
      <c r="I28" s="96">
        <f t="shared" si="36"/>
        <v>6.9999999999999991</v>
      </c>
      <c r="K28" s="94">
        <f>RateLong/12*Balance!K25</f>
        <v>0.58333333333333337</v>
      </c>
      <c r="L28" s="94">
        <f>RateLong/12*Balance!L25</f>
        <v>0.58333333333333337</v>
      </c>
      <c r="M28" s="94">
        <f>RateLong/12*Balance!M25</f>
        <v>0.58333333333333337</v>
      </c>
      <c r="N28" s="94">
        <f>RateLong/12*Balance!N25</f>
        <v>0.58333333333333337</v>
      </c>
      <c r="O28" s="94">
        <f>RateLong/12*Balance!O25</f>
        <v>0.58333333333333337</v>
      </c>
      <c r="P28" s="94">
        <f>RateLong/12*Balance!P25</f>
        <v>0.58333333333333337</v>
      </c>
      <c r="Q28" s="94">
        <f>RateLong/12*Balance!Q25</f>
        <v>0.58333333333333337</v>
      </c>
      <c r="R28" s="94">
        <f>RateLong/12*Balance!R25</f>
        <v>0.58333333333333337</v>
      </c>
      <c r="S28" s="94">
        <f>RateLong/12*Balance!S25</f>
        <v>0.58333333333333337</v>
      </c>
      <c r="T28" s="94">
        <f>RateLong/12*Balance!T25</f>
        <v>0.58333333333333337</v>
      </c>
      <c r="U28" s="94">
        <f>RateLong/12*Balance!U25</f>
        <v>0.58333333333333337</v>
      </c>
      <c r="V28" s="96">
        <f>RateLong/12*Balance!V25</f>
        <v>0.58333333333333337</v>
      </c>
      <c r="W28" s="94">
        <f>RateLong/12*Balance!W25</f>
        <v>0.58333333333333337</v>
      </c>
      <c r="X28" s="94">
        <f>RateLong/12*Balance!X25</f>
        <v>0.58333333333333337</v>
      </c>
      <c r="Y28" s="94">
        <f>RateLong/12*Balance!Y25</f>
        <v>0.58333333333333337</v>
      </c>
      <c r="Z28" s="94">
        <f>RateLong/12*Balance!Z25</f>
        <v>0.58333333333333337</v>
      </c>
      <c r="AA28" s="94">
        <f>RateLong/12*Balance!AA25</f>
        <v>0.58333333333333337</v>
      </c>
      <c r="AB28" s="94">
        <f>RateLong/12*Balance!AB25</f>
        <v>0.58333333333333337</v>
      </c>
      <c r="AC28" s="94">
        <f>RateLong/12*Balance!AC25</f>
        <v>0.58333333333333337</v>
      </c>
      <c r="AD28" s="94">
        <f>RateLong/12*Balance!AD25</f>
        <v>0.58333333333333337</v>
      </c>
      <c r="AE28" s="94">
        <f>RateLong/12*Balance!AE25</f>
        <v>0.58333333333333337</v>
      </c>
      <c r="AF28" s="94">
        <f>RateLong/12*Balance!AF25</f>
        <v>0.58333333333333337</v>
      </c>
      <c r="AG28" s="94">
        <f>RateLong/12*Balance!AG25</f>
        <v>0.58333333333333337</v>
      </c>
      <c r="AH28" s="96">
        <f>RateLong/12*Balance!AH25</f>
        <v>0.58333333333333337</v>
      </c>
      <c r="AI28" s="94">
        <f>RateLong/12*Balance!AI25</f>
        <v>0.58333333333333337</v>
      </c>
      <c r="AJ28" s="94">
        <f>RateLong/12*Balance!AJ25</f>
        <v>0.58333333333333337</v>
      </c>
      <c r="AK28" s="94">
        <f>RateLong/12*Balance!AK25</f>
        <v>0.58333333333333337</v>
      </c>
      <c r="AL28" s="94">
        <f>RateLong/12*Balance!AL25</f>
        <v>0.58333333333333337</v>
      </c>
      <c r="AM28" s="94">
        <f>RateLong/12*Balance!AM25</f>
        <v>0.58333333333333337</v>
      </c>
      <c r="AN28" s="94">
        <f>RateLong/12*Balance!AN25</f>
        <v>0.58333333333333337</v>
      </c>
      <c r="AO28" s="94">
        <f>RateLong/12*Balance!AO25</f>
        <v>0.58333333333333337</v>
      </c>
      <c r="AP28" s="94">
        <f>RateLong/12*Balance!AP25</f>
        <v>0.58333333333333337</v>
      </c>
      <c r="AQ28" s="94">
        <f>RateLong/12*Balance!AQ25</f>
        <v>0.58333333333333337</v>
      </c>
      <c r="AR28" s="94">
        <f>RateLong/12*Balance!AR25</f>
        <v>0.58333333333333337</v>
      </c>
      <c r="AS28" s="94">
        <f>RateLong/12*Balance!AS25</f>
        <v>0.58333333333333337</v>
      </c>
      <c r="AT28" s="96">
        <f>RateLong/12*Balance!AT25</f>
        <v>0.58333333333333337</v>
      </c>
      <c r="AU28" s="94">
        <f>RateLong/12*Balance!AU25</f>
        <v>0.58333333333333337</v>
      </c>
      <c r="AV28" s="94">
        <f>RateLong/12*Balance!AV25</f>
        <v>0.58333333333333337</v>
      </c>
      <c r="AW28" s="94">
        <f>RateLong/12*Balance!AW25</f>
        <v>0.58333333333333337</v>
      </c>
      <c r="AX28" s="94">
        <f>RateLong/12*Balance!AX25</f>
        <v>0.58333333333333337</v>
      </c>
      <c r="AY28" s="94">
        <f>RateLong/12*Balance!AY25</f>
        <v>0.58333333333333337</v>
      </c>
      <c r="AZ28" s="94">
        <f>RateLong/12*Balance!AZ25</f>
        <v>0.58333333333333337</v>
      </c>
      <c r="BA28" s="94">
        <f>RateLong/12*Balance!BA25</f>
        <v>0.58333333333333337</v>
      </c>
      <c r="BB28" s="94">
        <f>RateLong/12*Balance!BB25</f>
        <v>0.58333333333333337</v>
      </c>
      <c r="BC28" s="94">
        <f>RateLong/12*Balance!BC25</f>
        <v>0.58333333333333337</v>
      </c>
      <c r="BD28" s="94">
        <f>RateLong/12*Balance!BD25</f>
        <v>0.58333333333333337</v>
      </c>
      <c r="BE28" s="94">
        <f>RateLong/12*Balance!BE25</f>
        <v>0.58333333333333337</v>
      </c>
      <c r="BF28" s="96">
        <f>RateLong/12*Balance!BF25</f>
        <v>0.58333333333333337</v>
      </c>
      <c r="BG28" s="94">
        <f>RateLong/12*Balance!BG25</f>
        <v>0.58333333333333337</v>
      </c>
      <c r="BH28" s="94">
        <f>RateLong/12*Balance!BH25</f>
        <v>0.58333333333333337</v>
      </c>
      <c r="BI28" s="94">
        <f>RateLong/12*Balance!BI25</f>
        <v>0.58333333333333337</v>
      </c>
      <c r="BJ28" s="94">
        <f>RateLong/12*Balance!BJ25</f>
        <v>0.58333333333333337</v>
      </c>
      <c r="BK28" s="94">
        <f>RateLong/12*Balance!BK25</f>
        <v>0.58333333333333337</v>
      </c>
      <c r="BL28" s="94">
        <f>RateLong/12*Balance!BL25</f>
        <v>0.58333333333333337</v>
      </c>
      <c r="BM28" s="94">
        <f>RateLong/12*Balance!BM25</f>
        <v>0.58333333333333337</v>
      </c>
      <c r="BN28" s="94">
        <f>RateLong/12*Balance!BN25</f>
        <v>0.58333333333333337</v>
      </c>
      <c r="BO28" s="94">
        <f>RateLong/12*Balance!BO25</f>
        <v>0.58333333333333337</v>
      </c>
      <c r="BP28" s="94">
        <f>RateLong/12*Balance!BP25</f>
        <v>0.58333333333333337</v>
      </c>
      <c r="BQ28" s="94">
        <f>RateLong/12*Balance!BQ25</f>
        <v>0.58333333333333337</v>
      </c>
      <c r="BR28" s="96">
        <f>RateLong/12*Balance!BR25</f>
        <v>0.58333333333333337</v>
      </c>
    </row>
    <row r="29" spans="1:70" s="93" customFormat="1" x14ac:dyDescent="0.3">
      <c r="A29" s="2"/>
      <c r="B29" s="114" t="s">
        <v>116</v>
      </c>
      <c r="E29" s="115">
        <f ca="1">SUM(K29:V29)</f>
        <v>-343.79202519994067</v>
      </c>
      <c r="F29" s="115">
        <f ca="1">SUM(W29:AH29)</f>
        <v>270.27886504684403</v>
      </c>
      <c r="G29" s="115">
        <f ca="1">SUM(AI29:AT29)</f>
        <v>249.2522017936063</v>
      </c>
      <c r="H29" s="115">
        <f ca="1">SUM(AU29:BF29)</f>
        <v>434.38725222653886</v>
      </c>
      <c r="I29" s="115">
        <f ca="1">SUM(BG29:BR29)</f>
        <v>569.29321390067093</v>
      </c>
      <c r="K29" s="99">
        <f t="shared" ref="K29:AP29" ca="1" si="38">(SUM(K24,K26)-SUM(K27:K28))*OtherTaxes</f>
        <v>-83.617485904965861</v>
      </c>
      <c r="L29" s="99">
        <f t="shared" ca="1" si="38"/>
        <v>-73.802581163975418</v>
      </c>
      <c r="M29" s="99">
        <f t="shared" ca="1" si="38"/>
        <v>-64.006235675355697</v>
      </c>
      <c r="N29" s="99">
        <f t="shared" ca="1" si="38"/>
        <v>-31.913899579438652</v>
      </c>
      <c r="O29" s="99">
        <f t="shared" ca="1" si="38"/>
        <v>-24.55039300853387</v>
      </c>
      <c r="P29" s="99">
        <f t="shared" ca="1" si="38"/>
        <v>-20.401432041567844</v>
      </c>
      <c r="Q29" s="99">
        <f t="shared" ca="1" si="38"/>
        <v>-16.83004019254302</v>
      </c>
      <c r="R29" s="99">
        <f t="shared" ca="1" si="38"/>
        <v>-17.051290679847437</v>
      </c>
      <c r="S29" s="99">
        <f t="shared" ca="1" si="38"/>
        <v>-11.062562302733571</v>
      </c>
      <c r="T29" s="99">
        <f t="shared" ca="1" si="38"/>
        <v>-6.0121704078980684</v>
      </c>
      <c r="U29" s="99">
        <f t="shared" ca="1" si="38"/>
        <v>6.9465897968404962</v>
      </c>
      <c r="V29" s="115">
        <f t="shared" ca="1" si="38"/>
        <v>-1.4905240399217095</v>
      </c>
      <c r="W29" s="99">
        <f t="shared" ca="1" si="38"/>
        <v>15.237179198421424</v>
      </c>
      <c r="X29" s="99">
        <f t="shared" ca="1" si="38"/>
        <v>19.216036051540854</v>
      </c>
      <c r="Y29" s="99">
        <f t="shared" ca="1" si="38"/>
        <v>13.03692693666005</v>
      </c>
      <c r="Z29" s="99">
        <f t="shared" ca="1" si="38"/>
        <v>16.27442079324446</v>
      </c>
      <c r="AA29" s="99">
        <f t="shared" ca="1" si="38"/>
        <v>19.151114607637371</v>
      </c>
      <c r="AB29" s="99">
        <f t="shared" ca="1" si="38"/>
        <v>16.890801889305632</v>
      </c>
      <c r="AC29" s="99">
        <f t="shared" ca="1" si="38"/>
        <v>16.96605592757869</v>
      </c>
      <c r="AD29" s="99">
        <f t="shared" ca="1" si="38"/>
        <v>52.039025412753944</v>
      </c>
      <c r="AE29" s="99">
        <f t="shared" ca="1" si="38"/>
        <v>24.776950348584318</v>
      </c>
      <c r="AF29" s="99">
        <f t="shared" ca="1" si="38"/>
        <v>25.150942600252026</v>
      </c>
      <c r="AG29" s="99">
        <f t="shared" ca="1" si="38"/>
        <v>25.553594383544052</v>
      </c>
      <c r="AH29" s="115">
        <f t="shared" ca="1" si="38"/>
        <v>25.985816897321225</v>
      </c>
      <c r="AI29" s="99">
        <f t="shared" ca="1" si="38"/>
        <v>26.448543040272256</v>
      </c>
      <c r="AJ29" s="99">
        <f t="shared" ca="1" si="38"/>
        <v>10.316773737298147</v>
      </c>
      <c r="AK29" s="99">
        <f t="shared" ca="1" si="38"/>
        <v>11.680970690211732</v>
      </c>
      <c r="AL29" s="99">
        <f t="shared" ca="1" si="38"/>
        <v>13.08849296290475</v>
      </c>
      <c r="AM29" s="99">
        <f t="shared" ca="1" si="38"/>
        <v>12.721095091136542</v>
      </c>
      <c r="AN29" s="99">
        <f t="shared" ca="1" si="38"/>
        <v>21.343364076063288</v>
      </c>
      <c r="AO29" s="99">
        <f t="shared" ca="1" si="38"/>
        <v>22.542550243238679</v>
      </c>
      <c r="AP29" s="99">
        <f t="shared" ca="1" si="38"/>
        <v>23.753320181149181</v>
      </c>
      <c r="AQ29" s="99">
        <f t="shared" ref="AQ29:BR29" ca="1" si="39">(SUM(AQ24,AQ26)-SUM(AQ27:AQ28))*OtherTaxes</f>
        <v>24.975799724645093</v>
      </c>
      <c r="AR29" s="99">
        <f t="shared" ca="1" si="39"/>
        <v>26.210116227230625</v>
      </c>
      <c r="AS29" s="99">
        <f t="shared" ca="1" si="39"/>
        <v>27.456398581228854</v>
      </c>
      <c r="AT29" s="115">
        <f t="shared" ca="1" si="39"/>
        <v>28.714777238227153</v>
      </c>
      <c r="AU29" s="99">
        <f t="shared" ca="1" si="39"/>
        <v>29.985384229807863</v>
      </c>
      <c r="AV29" s="99">
        <f t="shared" ca="1" si="39"/>
        <v>31.268353188567943</v>
      </c>
      <c r="AW29" s="99">
        <f t="shared" ca="1" si="39"/>
        <v>32.563819369432004</v>
      </c>
      <c r="AX29" s="99">
        <f t="shared" ca="1" si="39"/>
        <v>35.871919671261772</v>
      </c>
      <c r="AY29" s="99">
        <f t="shared" ca="1" si="39"/>
        <v>35.199292658769011</v>
      </c>
      <c r="AZ29" s="99">
        <f t="shared" ca="1" si="39"/>
        <v>34.48523597824353</v>
      </c>
      <c r="BA29" s="99">
        <f t="shared" ca="1" si="39"/>
        <v>35.653310924638362</v>
      </c>
      <c r="BB29" s="99">
        <f t="shared" ca="1" si="39"/>
        <v>36.834349791458472</v>
      </c>
      <c r="BC29" s="99">
        <f t="shared" ca="1" si="39"/>
        <v>39.494474580082461</v>
      </c>
      <c r="BD29" s="99">
        <f t="shared" ca="1" si="39"/>
        <v>40.248542882444369</v>
      </c>
      <c r="BE29" s="99">
        <f t="shared" ca="1" si="39"/>
        <v>41.008421676130112</v>
      </c>
      <c r="BF29" s="115">
        <f t="shared" ca="1" si="39"/>
        <v>41.774147275702916</v>
      </c>
      <c r="BG29" s="99">
        <f t="shared" ca="1" si="39"/>
        <v>42.545756201393303</v>
      </c>
      <c r="BH29" s="99">
        <f t="shared" ca="1" si="39"/>
        <v>43.323285180206426</v>
      </c>
      <c r="BI29" s="99">
        <f t="shared" ca="1" si="39"/>
        <v>44.106771147035758</v>
      </c>
      <c r="BJ29" s="99">
        <f t="shared" ca="1" si="39"/>
        <v>44.896251245782011</v>
      </c>
      <c r="BK29" s="99">
        <f t="shared" ca="1" si="39"/>
        <v>45.69176283047895</v>
      </c>
      <c r="BL29" s="99">
        <f t="shared" ca="1" si="39"/>
        <v>46.493343466423539</v>
      </c>
      <c r="BM29" s="99">
        <f t="shared" ca="1" si="39"/>
        <v>53.301030931313313</v>
      </c>
      <c r="BN29" s="99">
        <f t="shared" ca="1" si="39"/>
        <v>48.134363216389282</v>
      </c>
      <c r="BO29" s="99">
        <f t="shared" ca="1" si="39"/>
        <v>48.954441902584193</v>
      </c>
      <c r="BP29" s="99">
        <f t="shared" ca="1" si="39"/>
        <v>49.780742242647101</v>
      </c>
      <c r="BQ29" s="99">
        <f t="shared" ca="1" si="39"/>
        <v>50.613302876034957</v>
      </c>
      <c r="BR29" s="115">
        <f t="shared" ca="1" si="39"/>
        <v>51.45216266038215</v>
      </c>
    </row>
    <row r="30" spans="1:70" s="103" customFormat="1" x14ac:dyDescent="0.3">
      <c r="A30" s="2"/>
      <c r="B30" s="101" t="s">
        <v>117</v>
      </c>
      <c r="C30" s="102"/>
      <c r="D30" s="102"/>
      <c r="E30" s="103">
        <f ca="1">SUM(K30:V30)</f>
        <v>-515.68803779991094</v>
      </c>
      <c r="F30" s="103">
        <f ca="1">SUM(W30:AH30)</f>
        <v>405.41829757026596</v>
      </c>
      <c r="G30" s="103">
        <f ca="1">SUM(AI30:AT30)</f>
        <v>373.87830269040938</v>
      </c>
      <c r="H30" s="103">
        <f ca="1">SUM(AU30:BF30)</f>
        <v>651.58087833980824</v>
      </c>
      <c r="I30" s="103">
        <f ca="1">SUM(BG30:BR30)</f>
        <v>853.93982085100652</v>
      </c>
      <c r="K30" s="93">
        <f t="shared" ref="K30:AP30" ca="1" si="40">SUM(K24:K26)-SUM(K27:K29)</f>
        <v>-125.42622885744881</v>
      </c>
      <c r="L30" s="93">
        <f t="shared" ca="1" si="40"/>
        <v>-110.70387174596313</v>
      </c>
      <c r="M30" s="93">
        <f t="shared" ca="1" si="40"/>
        <v>-96.009353513033545</v>
      </c>
      <c r="N30" s="93">
        <f t="shared" ca="1" si="40"/>
        <v>-47.870849369157966</v>
      </c>
      <c r="O30" s="93">
        <f t="shared" ca="1" si="40"/>
        <v>-36.825589512800804</v>
      </c>
      <c r="P30" s="93">
        <f t="shared" ca="1" si="40"/>
        <v>-30.602148062351766</v>
      </c>
      <c r="Q30" s="93">
        <f t="shared" ca="1" si="40"/>
        <v>-25.245060288814525</v>
      </c>
      <c r="R30" s="93">
        <f t="shared" ca="1" si="40"/>
        <v>-25.57693601977115</v>
      </c>
      <c r="S30" s="93">
        <f t="shared" ca="1" si="40"/>
        <v>-16.593843454100355</v>
      </c>
      <c r="T30" s="93">
        <f t="shared" ca="1" si="40"/>
        <v>-9.0182556118471027</v>
      </c>
      <c r="U30" s="93">
        <f t="shared" ca="1" si="40"/>
        <v>10.419884695260743</v>
      </c>
      <c r="V30" s="103">
        <f t="shared" ca="1" si="40"/>
        <v>-2.2357860598825638</v>
      </c>
      <c r="W30" s="93">
        <f t="shared" ca="1" si="40"/>
        <v>22.855768797632134</v>
      </c>
      <c r="X30" s="93">
        <f t="shared" ca="1" si="40"/>
        <v>28.824054077311281</v>
      </c>
      <c r="Y30" s="93">
        <f t="shared" ca="1" si="40"/>
        <v>19.555390404990071</v>
      </c>
      <c r="Z30" s="93">
        <f t="shared" ca="1" si="40"/>
        <v>24.411631189866689</v>
      </c>
      <c r="AA30" s="93">
        <f t="shared" ca="1" si="40"/>
        <v>28.726671911456055</v>
      </c>
      <c r="AB30" s="93">
        <f t="shared" ca="1" si="40"/>
        <v>25.336202833958449</v>
      </c>
      <c r="AC30" s="93">
        <f t="shared" ca="1" si="40"/>
        <v>25.44908389136803</v>
      </c>
      <c r="AD30" s="93">
        <f t="shared" ca="1" si="40"/>
        <v>78.058538119130901</v>
      </c>
      <c r="AE30" s="93">
        <f t="shared" ca="1" si="40"/>
        <v>37.165425522876475</v>
      </c>
      <c r="AF30" s="93">
        <f t="shared" ca="1" si="40"/>
        <v>37.726413900378034</v>
      </c>
      <c r="AG30" s="93">
        <f t="shared" ca="1" si="40"/>
        <v>38.330391575316078</v>
      </c>
      <c r="AH30" s="103">
        <f t="shared" ca="1" si="40"/>
        <v>38.978725345981843</v>
      </c>
      <c r="AI30" s="93">
        <f t="shared" ca="1" si="40"/>
        <v>39.672814560408391</v>
      </c>
      <c r="AJ30" s="93">
        <f t="shared" ca="1" si="40"/>
        <v>15.475160605947218</v>
      </c>
      <c r="AK30" s="93">
        <f t="shared" ca="1" si="40"/>
        <v>17.521456035317598</v>
      </c>
      <c r="AL30" s="93">
        <f t="shared" ca="1" si="40"/>
        <v>19.632739444357121</v>
      </c>
      <c r="AM30" s="93">
        <f t="shared" ca="1" si="40"/>
        <v>19.081642636704814</v>
      </c>
      <c r="AN30" s="93">
        <f t="shared" ca="1" si="40"/>
        <v>32.015046114094929</v>
      </c>
      <c r="AO30" s="93">
        <f t="shared" ca="1" si="40"/>
        <v>33.813825364858012</v>
      </c>
      <c r="AP30" s="93">
        <f t="shared" ca="1" si="40"/>
        <v>35.629980271723767</v>
      </c>
      <c r="AQ30" s="93">
        <f t="shared" ref="AQ30:BR30" ca="1" si="41">SUM(AQ24:AQ26)-SUM(AQ27:AQ29)</f>
        <v>37.463699586967635</v>
      </c>
      <c r="AR30" s="93">
        <f t="shared" ca="1" si="41"/>
        <v>39.315174340845942</v>
      </c>
      <c r="AS30" s="93">
        <f t="shared" ca="1" si="41"/>
        <v>41.184597871843287</v>
      </c>
      <c r="AT30" s="103">
        <f t="shared" ca="1" si="41"/>
        <v>43.072165857340735</v>
      </c>
      <c r="AU30" s="93">
        <f t="shared" ca="1" si="41"/>
        <v>44.978076344711802</v>
      </c>
      <c r="AV30" s="93">
        <f t="shared" ca="1" si="41"/>
        <v>46.902529782851921</v>
      </c>
      <c r="AW30" s="93">
        <f t="shared" ca="1" si="41"/>
        <v>48.845729054148009</v>
      </c>
      <c r="AX30" s="93">
        <f t="shared" ca="1" si="41"/>
        <v>53.807879506892661</v>
      </c>
      <c r="AY30" s="93">
        <f t="shared" ca="1" si="41"/>
        <v>52.798938988153516</v>
      </c>
      <c r="AZ30" s="93">
        <f t="shared" ca="1" si="41"/>
        <v>51.727853967365292</v>
      </c>
      <c r="BA30" s="93">
        <f t="shared" ca="1" si="41"/>
        <v>53.47996638695755</v>
      </c>
      <c r="BB30" s="93">
        <f t="shared" ca="1" si="41"/>
        <v>55.251524687187711</v>
      </c>
      <c r="BC30" s="93">
        <f t="shared" ca="1" si="41"/>
        <v>59.241711870123694</v>
      </c>
      <c r="BD30" s="93">
        <f t="shared" ca="1" si="41"/>
        <v>60.372814323666553</v>
      </c>
      <c r="BE30" s="93">
        <f t="shared" ca="1" si="41"/>
        <v>61.512632514195168</v>
      </c>
      <c r="BF30" s="103">
        <f t="shared" ca="1" si="41"/>
        <v>62.661220913554381</v>
      </c>
      <c r="BG30" s="93">
        <f t="shared" ca="1" si="41"/>
        <v>63.818634302089954</v>
      </c>
      <c r="BH30" s="93">
        <f t="shared" ca="1" si="41"/>
        <v>64.984927770309639</v>
      </c>
      <c r="BI30" s="93">
        <f t="shared" ca="1" si="41"/>
        <v>66.16015672055363</v>
      </c>
      <c r="BJ30" s="93">
        <f t="shared" ca="1" si="41"/>
        <v>67.34437686867301</v>
      </c>
      <c r="BK30" s="93">
        <f t="shared" ca="1" si="41"/>
        <v>68.53764424571844</v>
      </c>
      <c r="BL30" s="93">
        <f t="shared" ca="1" si="41"/>
        <v>69.740015199635309</v>
      </c>
      <c r="BM30" s="93">
        <f t="shared" ca="1" si="41"/>
        <v>79.95154639696996</v>
      </c>
      <c r="BN30" s="93">
        <f t="shared" ca="1" si="41"/>
        <v>72.20154482458392</v>
      </c>
      <c r="BO30" s="93">
        <f t="shared" ca="1" si="41"/>
        <v>73.431662853876304</v>
      </c>
      <c r="BP30" s="93">
        <f t="shared" ca="1" si="41"/>
        <v>74.671113363970647</v>
      </c>
      <c r="BQ30" s="93">
        <f t="shared" ca="1" si="41"/>
        <v>75.919954314052433</v>
      </c>
      <c r="BR30" s="103">
        <f t="shared" ca="1" si="41"/>
        <v>77.178243990573208</v>
      </c>
    </row>
    <row r="31" spans="1:70" s="105" customFormat="1" ht="6" customHeight="1" x14ac:dyDescent="0.3">
      <c r="A31" s="6"/>
      <c r="B31" s="104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</row>
    <row r="32" spans="1:70" s="105" customFormat="1" x14ac:dyDescent="0.3">
      <c r="A32" s="6"/>
      <c r="B32" s="138" t="s">
        <v>118</v>
      </c>
      <c r="C32" s="94"/>
      <c r="D32" s="94"/>
      <c r="E32" s="122">
        <f>SUM(K32:V32)</f>
        <v>50</v>
      </c>
      <c r="F32" s="122">
        <f>SUM(W32:AH32)</f>
        <v>100</v>
      </c>
      <c r="G32" s="122">
        <f>SUM(AI32:AT32)</f>
        <v>0</v>
      </c>
      <c r="H32" s="122">
        <f>SUM(AU32:BF32)</f>
        <v>0</v>
      </c>
      <c r="I32" s="122">
        <f>SUM(BG32:BR32)</f>
        <v>0</v>
      </c>
      <c r="J32" s="94"/>
      <c r="K32" s="123">
        <f>IFERROR(VLOOKUP(K3,CapitalEquityMonth:CapitalDividends,4,FALSE),0)</f>
        <v>0</v>
      </c>
      <c r="L32" s="123">
        <f>IFERROR(VLOOKUP(L3,CapitalEquityMonth:CapitalDividends,4,FALSE),0)</f>
        <v>0</v>
      </c>
      <c r="M32" s="123">
        <f>IFERROR(VLOOKUP(M3,CapitalEquityMonth:CapitalDividends,4,FALSE),0)</f>
        <v>0</v>
      </c>
      <c r="N32" s="123">
        <f>IFERROR(VLOOKUP(N3,CapitalEquityMonth:CapitalDividends,4,FALSE),0)</f>
        <v>0</v>
      </c>
      <c r="O32" s="123">
        <f>IFERROR(VLOOKUP(O3,CapitalEquityMonth:CapitalDividends,4,FALSE),0)</f>
        <v>0</v>
      </c>
      <c r="P32" s="123">
        <f>IFERROR(VLOOKUP(P3,CapitalEquityMonth:CapitalDividends,4,FALSE),0)</f>
        <v>50</v>
      </c>
      <c r="Q32" s="123">
        <f>IFERROR(VLOOKUP(Q3,CapitalEquityMonth:CapitalDividends,4,FALSE),0)</f>
        <v>0</v>
      </c>
      <c r="R32" s="123">
        <f>IFERROR(VLOOKUP(R3,CapitalEquityMonth:CapitalDividends,4,FALSE),0)</f>
        <v>0</v>
      </c>
      <c r="S32" s="123">
        <f>IFERROR(VLOOKUP(S3,CapitalEquityMonth:CapitalDividends,4,FALSE),0)</f>
        <v>0</v>
      </c>
      <c r="T32" s="123">
        <f>IFERROR(VLOOKUP(T3,CapitalEquityMonth:CapitalDividends,4,FALSE),0)</f>
        <v>0</v>
      </c>
      <c r="U32" s="123">
        <f>IFERROR(VLOOKUP(U3,CapitalEquityMonth:CapitalDividends,4,FALSE),0)</f>
        <v>0</v>
      </c>
      <c r="V32" s="122">
        <f>IFERROR(VLOOKUP(V3,CapitalEquityMonth:CapitalDividends,4,FALSE),0)</f>
        <v>0</v>
      </c>
      <c r="W32" s="123">
        <f>IFERROR(VLOOKUP(W3,CapitalEquityMonth:CapitalDividends,4,FALSE),0)</f>
        <v>0</v>
      </c>
      <c r="X32" s="123">
        <f>IFERROR(VLOOKUP(X3,CapitalEquityMonth:CapitalDividends,4,FALSE),0)</f>
        <v>0</v>
      </c>
      <c r="Y32" s="123">
        <f>IFERROR(VLOOKUP(Y3,CapitalEquityMonth:CapitalDividends,4,FALSE),0)</f>
        <v>0</v>
      </c>
      <c r="Z32" s="123">
        <f>IFERROR(VLOOKUP(Z3,CapitalEquityMonth:CapitalDividends,4,FALSE),0)</f>
        <v>0</v>
      </c>
      <c r="AA32" s="123">
        <f>IFERROR(VLOOKUP(AA3,CapitalEquityMonth:CapitalDividends,4,FALSE),0)</f>
        <v>0</v>
      </c>
      <c r="AB32" s="123">
        <f>IFERROR(VLOOKUP(AB3,CapitalEquityMonth:CapitalDividends,4,FALSE),0)</f>
        <v>100</v>
      </c>
      <c r="AC32" s="123">
        <f>IFERROR(VLOOKUP(AC3,CapitalEquityMonth:CapitalDividends,4,FALSE),0)</f>
        <v>0</v>
      </c>
      <c r="AD32" s="123">
        <f>IFERROR(VLOOKUP(AD3,CapitalEquityMonth:CapitalDividends,4,FALSE),0)</f>
        <v>0</v>
      </c>
      <c r="AE32" s="123">
        <f>IFERROR(VLOOKUP(AE3,CapitalEquityMonth:CapitalDividends,4,FALSE),0)</f>
        <v>0</v>
      </c>
      <c r="AF32" s="123">
        <f>IFERROR(VLOOKUP(AF3,CapitalEquityMonth:CapitalDividends,4,FALSE),0)</f>
        <v>0</v>
      </c>
      <c r="AG32" s="123">
        <f>IFERROR(VLOOKUP(AG3,CapitalEquityMonth:CapitalDividends,4,FALSE),0)</f>
        <v>0</v>
      </c>
      <c r="AH32" s="122">
        <f>IFERROR(VLOOKUP(AH3,CapitalEquityMonth:CapitalDividends,4,FALSE),0)</f>
        <v>0</v>
      </c>
      <c r="AI32" s="123">
        <f>IFERROR(VLOOKUP(AI3,CapitalEquityMonth:CapitalDividends,4,FALSE),0)</f>
        <v>0</v>
      </c>
      <c r="AJ32" s="123">
        <f>IFERROR(VLOOKUP(AJ3,CapitalEquityMonth:CapitalDividends,4,FALSE),0)</f>
        <v>0</v>
      </c>
      <c r="AK32" s="123">
        <f>IFERROR(VLOOKUP(AK3,CapitalEquityMonth:CapitalDividends,4,FALSE),0)</f>
        <v>0</v>
      </c>
      <c r="AL32" s="123">
        <f>IFERROR(VLOOKUP(AL3,CapitalEquityMonth:CapitalDividends,4,FALSE),0)</f>
        <v>0</v>
      </c>
      <c r="AM32" s="123">
        <f>IFERROR(VLOOKUP(AM3,CapitalEquityMonth:CapitalDividends,4,FALSE),0)</f>
        <v>0</v>
      </c>
      <c r="AN32" s="123">
        <f>IFERROR(VLOOKUP(AN3,CapitalEquityMonth:CapitalDividends,4,FALSE),0)</f>
        <v>0</v>
      </c>
      <c r="AO32" s="123">
        <f>IFERROR(VLOOKUP(AO3,CapitalEquityMonth:CapitalDividends,4,FALSE),0)</f>
        <v>0</v>
      </c>
      <c r="AP32" s="123">
        <f>IFERROR(VLOOKUP(AP3,CapitalEquityMonth:CapitalDividends,4,FALSE),0)</f>
        <v>0</v>
      </c>
      <c r="AQ32" s="123">
        <f>IFERROR(VLOOKUP(AQ3,CapitalEquityMonth:CapitalDividends,4,FALSE),0)</f>
        <v>0</v>
      </c>
      <c r="AR32" s="123">
        <f>IFERROR(VLOOKUP(AR3,CapitalEquityMonth:CapitalDividends,4,FALSE),0)</f>
        <v>0</v>
      </c>
      <c r="AS32" s="123">
        <f>IFERROR(VLOOKUP(AS3,CapitalEquityMonth:CapitalDividends,4,FALSE),0)</f>
        <v>0</v>
      </c>
      <c r="AT32" s="122">
        <f>IFERROR(VLOOKUP(AT3,CapitalEquityMonth:CapitalDividends,4,FALSE),0)</f>
        <v>0</v>
      </c>
      <c r="AU32" s="123">
        <f>IFERROR(VLOOKUP(AU3,CapitalEquityMonth:CapitalDividends,4,FALSE),0)</f>
        <v>0</v>
      </c>
      <c r="AV32" s="123">
        <f>IFERROR(VLOOKUP(AV3,CapitalEquityMonth:CapitalDividends,4,FALSE),0)</f>
        <v>0</v>
      </c>
      <c r="AW32" s="123">
        <f>IFERROR(VLOOKUP(AW3,CapitalEquityMonth:CapitalDividends,4,FALSE),0)</f>
        <v>0</v>
      </c>
      <c r="AX32" s="123">
        <f>IFERROR(VLOOKUP(AX3,CapitalEquityMonth:CapitalDividends,4,FALSE),0)</f>
        <v>0</v>
      </c>
      <c r="AY32" s="123">
        <f>IFERROR(VLOOKUP(AY3,CapitalEquityMonth:CapitalDividends,4,FALSE),0)</f>
        <v>0</v>
      </c>
      <c r="AZ32" s="123">
        <f>IFERROR(VLOOKUP(AZ3,CapitalEquityMonth:CapitalDividends,4,FALSE),0)</f>
        <v>0</v>
      </c>
      <c r="BA32" s="123">
        <f>IFERROR(VLOOKUP(BA3,CapitalEquityMonth:CapitalDividends,4,FALSE),0)</f>
        <v>0</v>
      </c>
      <c r="BB32" s="123">
        <f>IFERROR(VLOOKUP(BB3,CapitalEquityMonth:CapitalDividends,4,FALSE),0)</f>
        <v>0</v>
      </c>
      <c r="BC32" s="123">
        <f>IFERROR(VLOOKUP(BC3,CapitalEquityMonth:CapitalDividends,4,FALSE),0)</f>
        <v>0</v>
      </c>
      <c r="BD32" s="123">
        <f>IFERROR(VLOOKUP(BD3,CapitalEquityMonth:CapitalDividends,4,FALSE),0)</f>
        <v>0</v>
      </c>
      <c r="BE32" s="123">
        <f>IFERROR(VLOOKUP(BE3,CapitalEquityMonth:CapitalDividends,4,FALSE),0)</f>
        <v>0</v>
      </c>
      <c r="BF32" s="122">
        <f>IFERROR(VLOOKUP(BF3,CapitalEquityMonth:CapitalDividends,4,FALSE),0)</f>
        <v>0</v>
      </c>
      <c r="BG32" s="123">
        <f>IFERROR(VLOOKUP(BG3,CapitalEquityMonth:CapitalDividends,4,FALSE),0)</f>
        <v>0</v>
      </c>
      <c r="BH32" s="123">
        <f>IFERROR(VLOOKUP(BH3,CapitalEquityMonth:CapitalDividends,4,FALSE),0)</f>
        <v>0</v>
      </c>
      <c r="BI32" s="123">
        <f>IFERROR(VLOOKUP(BI3,CapitalEquityMonth:CapitalDividends,4,FALSE),0)</f>
        <v>0</v>
      </c>
      <c r="BJ32" s="123">
        <f>IFERROR(VLOOKUP(BJ3,CapitalEquityMonth:CapitalDividends,4,FALSE),0)</f>
        <v>0</v>
      </c>
      <c r="BK32" s="123">
        <f>IFERROR(VLOOKUP(BK3,CapitalEquityMonth:CapitalDividends,4,FALSE),0)</f>
        <v>0</v>
      </c>
      <c r="BL32" s="123">
        <f>IFERROR(VLOOKUP(BL3,CapitalEquityMonth:CapitalDividends,4,FALSE),0)</f>
        <v>0</v>
      </c>
      <c r="BM32" s="123">
        <f>IFERROR(VLOOKUP(BM3,CapitalEquityMonth:CapitalDividends,4,FALSE),0)</f>
        <v>0</v>
      </c>
      <c r="BN32" s="123">
        <f>IFERROR(VLOOKUP(BN3,CapitalEquityMonth:CapitalDividends,4,FALSE),0)</f>
        <v>0</v>
      </c>
      <c r="BO32" s="123">
        <f>IFERROR(VLOOKUP(BO3,CapitalEquityMonth:CapitalDividends,4,FALSE),0)</f>
        <v>0</v>
      </c>
      <c r="BP32" s="123">
        <f>IFERROR(VLOOKUP(BP3,CapitalEquityMonth:CapitalDividends,4,FALSE),0)</f>
        <v>0</v>
      </c>
      <c r="BQ32" s="123">
        <f>IFERROR(VLOOKUP(BQ3,CapitalEquityMonth:CapitalDividends,4,FALSE),0)</f>
        <v>0</v>
      </c>
      <c r="BR32" s="122">
        <f>IFERROR(VLOOKUP(BR3,CapitalEquityMonth:CapitalDividends,4,FALSE),0)</f>
        <v>0</v>
      </c>
    </row>
    <row r="33" spans="1:70" s="94" customFormat="1" x14ac:dyDescent="0.3">
      <c r="A33" s="164"/>
      <c r="B33" s="259" t="s">
        <v>119</v>
      </c>
      <c r="C33" s="93"/>
      <c r="D33" s="93"/>
      <c r="E33" s="94">
        <f t="shared" ref="E33" ca="1" si="42">V33</f>
        <v>-565.68803779991083</v>
      </c>
      <c r="F33" s="94">
        <f t="shared" ref="F33" ca="1" si="43">AH33</f>
        <v>-260.26974022964475</v>
      </c>
      <c r="G33" s="94">
        <f t="shared" ref="G33" ca="1" si="44">AT33</f>
        <v>113.60856246076472</v>
      </c>
      <c r="H33" s="94">
        <f t="shared" ref="H33" ca="1" si="45">BF33</f>
        <v>765.18944080057304</v>
      </c>
      <c r="I33" s="94">
        <f t="shared" ref="I33" ca="1" si="46">BR33</f>
        <v>1619.1292616515793</v>
      </c>
      <c r="J33" s="93"/>
      <c r="K33" s="93">
        <f ca="1">K30-K32</f>
        <v>-125.42622885744881</v>
      </c>
      <c r="L33" s="93">
        <f t="shared" ref="L33:AQ33" ca="1" si="47">K33+L30-L32</f>
        <v>-236.13010060341193</v>
      </c>
      <c r="M33" s="93">
        <f t="shared" ca="1" si="47"/>
        <v>-332.13945411644545</v>
      </c>
      <c r="N33" s="93">
        <f t="shared" ca="1" si="47"/>
        <v>-380.0103034856034</v>
      </c>
      <c r="O33" s="93">
        <f t="shared" ca="1" si="47"/>
        <v>-416.83589299840423</v>
      </c>
      <c r="P33" s="93">
        <f t="shared" ca="1" si="47"/>
        <v>-497.43804106075601</v>
      </c>
      <c r="Q33" s="93">
        <f t="shared" ca="1" si="47"/>
        <v>-522.68310134957051</v>
      </c>
      <c r="R33" s="93">
        <f t="shared" ca="1" si="47"/>
        <v>-548.2600373693416</v>
      </c>
      <c r="S33" s="93">
        <f t="shared" ca="1" si="47"/>
        <v>-564.85388082344195</v>
      </c>
      <c r="T33" s="93">
        <f t="shared" ca="1" si="47"/>
        <v>-573.87213643528901</v>
      </c>
      <c r="U33" s="93">
        <f t="shared" ca="1" si="47"/>
        <v>-563.45225174002826</v>
      </c>
      <c r="V33" s="103">
        <f t="shared" ca="1" si="47"/>
        <v>-565.68803779991083</v>
      </c>
      <c r="W33" s="93">
        <f t="shared" ca="1" si="47"/>
        <v>-542.83226900227874</v>
      </c>
      <c r="X33" s="93">
        <f t="shared" ca="1" si="47"/>
        <v>-514.00821492496743</v>
      </c>
      <c r="Y33" s="93">
        <f t="shared" ca="1" si="47"/>
        <v>-494.45282451997736</v>
      </c>
      <c r="Z33" s="93">
        <f t="shared" ca="1" si="47"/>
        <v>-470.04119333011067</v>
      </c>
      <c r="AA33" s="93">
        <f t="shared" ca="1" si="47"/>
        <v>-441.31452141865464</v>
      </c>
      <c r="AB33" s="93">
        <f t="shared" ca="1" si="47"/>
        <v>-515.97831858469613</v>
      </c>
      <c r="AC33" s="93">
        <f t="shared" ca="1" si="47"/>
        <v>-490.52923469332808</v>
      </c>
      <c r="AD33" s="93">
        <f t="shared" ca="1" si="47"/>
        <v>-412.47069657419718</v>
      </c>
      <c r="AE33" s="93">
        <f t="shared" ca="1" si="47"/>
        <v>-375.30527105132069</v>
      </c>
      <c r="AF33" s="93">
        <f t="shared" ca="1" si="47"/>
        <v>-337.57885715094267</v>
      </c>
      <c r="AG33" s="93">
        <f t="shared" ca="1" si="47"/>
        <v>-299.2484655756266</v>
      </c>
      <c r="AH33" s="103">
        <f t="shared" ca="1" si="47"/>
        <v>-260.26974022964475</v>
      </c>
      <c r="AI33" s="93">
        <f t="shared" ca="1" si="47"/>
        <v>-220.59692566923636</v>
      </c>
      <c r="AJ33" s="93">
        <f t="shared" ca="1" si="47"/>
        <v>-205.12176506328913</v>
      </c>
      <c r="AK33" s="93">
        <f t="shared" ca="1" si="47"/>
        <v>-187.60030902797155</v>
      </c>
      <c r="AL33" s="93">
        <f t="shared" ca="1" si="47"/>
        <v>-167.96756958361442</v>
      </c>
      <c r="AM33" s="93">
        <f t="shared" ca="1" si="47"/>
        <v>-148.88592694690959</v>
      </c>
      <c r="AN33" s="93">
        <f t="shared" ca="1" si="47"/>
        <v>-116.87088083281466</v>
      </c>
      <c r="AO33" s="93">
        <f t="shared" ca="1" si="47"/>
        <v>-83.057055467956644</v>
      </c>
      <c r="AP33" s="93">
        <f t="shared" ca="1" si="47"/>
        <v>-47.427075196232877</v>
      </c>
      <c r="AQ33" s="93">
        <f t="shared" ca="1" si="47"/>
        <v>-9.9633756092652419</v>
      </c>
      <c r="AR33" s="93">
        <f t="shared" ref="AR33:BR33" ca="1" si="48">AQ33+AR30-AR32</f>
        <v>29.351798731580701</v>
      </c>
      <c r="AS33" s="93">
        <f t="shared" ca="1" si="48"/>
        <v>70.536396603423981</v>
      </c>
      <c r="AT33" s="103">
        <f t="shared" ca="1" si="48"/>
        <v>113.60856246076472</v>
      </c>
      <c r="AU33" s="93">
        <f t="shared" ca="1" si="48"/>
        <v>158.58663880547653</v>
      </c>
      <c r="AV33" s="93">
        <f t="shared" ca="1" si="48"/>
        <v>205.48916858832845</v>
      </c>
      <c r="AW33" s="93">
        <f t="shared" ca="1" si="48"/>
        <v>254.33489764247645</v>
      </c>
      <c r="AX33" s="93">
        <f t="shared" ca="1" si="48"/>
        <v>308.14277714936912</v>
      </c>
      <c r="AY33" s="93">
        <f t="shared" ca="1" si="48"/>
        <v>360.94171613752263</v>
      </c>
      <c r="AZ33" s="93">
        <f t="shared" ca="1" si="48"/>
        <v>412.66957010488795</v>
      </c>
      <c r="BA33" s="93">
        <f t="shared" ca="1" si="48"/>
        <v>466.14953649184548</v>
      </c>
      <c r="BB33" s="93">
        <f t="shared" ca="1" si="48"/>
        <v>521.40106117903315</v>
      </c>
      <c r="BC33" s="93">
        <f t="shared" ca="1" si="48"/>
        <v>580.64277304915686</v>
      </c>
      <c r="BD33" s="93">
        <f t="shared" ca="1" si="48"/>
        <v>641.01558737282346</v>
      </c>
      <c r="BE33" s="93">
        <f t="shared" ca="1" si="48"/>
        <v>702.52821988701862</v>
      </c>
      <c r="BF33" s="103">
        <f t="shared" ca="1" si="48"/>
        <v>765.18944080057304</v>
      </c>
      <c r="BG33" s="93">
        <f t="shared" ca="1" si="48"/>
        <v>829.00807510266304</v>
      </c>
      <c r="BH33" s="93">
        <f t="shared" ca="1" si="48"/>
        <v>893.99300287297274</v>
      </c>
      <c r="BI33" s="93">
        <f t="shared" ca="1" si="48"/>
        <v>960.15315959352642</v>
      </c>
      <c r="BJ33" s="93">
        <f t="shared" ca="1" si="48"/>
        <v>1027.4975364621994</v>
      </c>
      <c r="BK33" s="93">
        <f t="shared" ca="1" si="48"/>
        <v>1096.0351807079178</v>
      </c>
      <c r="BL33" s="93">
        <f t="shared" ca="1" si="48"/>
        <v>1165.7751959075531</v>
      </c>
      <c r="BM33" s="93">
        <f t="shared" ca="1" si="48"/>
        <v>1245.726742304523</v>
      </c>
      <c r="BN33" s="93">
        <f t="shared" ca="1" si="48"/>
        <v>1317.9282871291068</v>
      </c>
      <c r="BO33" s="93">
        <f t="shared" ca="1" si="48"/>
        <v>1391.3599499829832</v>
      </c>
      <c r="BP33" s="93">
        <f t="shared" ca="1" si="48"/>
        <v>1466.0310633469537</v>
      </c>
      <c r="BQ33" s="93">
        <f t="shared" ca="1" si="48"/>
        <v>1541.9510176610061</v>
      </c>
      <c r="BR33" s="103">
        <f t="shared" ca="1" si="48"/>
        <v>1619.1292616515793</v>
      </c>
    </row>
  </sheetData>
  <sheetProtection algorithmName="SHA-512" hashValue="qrQ9nvz9SHZViLFm3w92F6mDTs4nnT2vqvXkse2gYiE/SaCjY3JKlOTgmCkAwdQ3OXINb458ruR/bqiHI4GCrw==" saltValue="C6ArsicJpu3W2VZc+LQ+KA==" spinCount="100000" sheet="1" objects="1" scenarios="1" selectLockedCells="1" selectUnlockedCells="1"/>
  <printOptions horizontalCentered="1"/>
  <pageMargins left="0.5" right="0.5" top="0.75" bottom="0.5" header="0.3" footer="0.55000000000000004"/>
  <pageSetup fitToWidth="5" orientation="landscape" r:id="rId1"/>
  <headerFooter scaleWithDoc="0" alignWithMargins="0">
    <oddFooter>&amp;L&amp;10Pro Forma Income Statement, p.&amp;P of &amp;N&amp;R&amp;10Updated &amp;D</oddFooter>
  </headerFooter>
  <colBreaks count="4" manualBreakCount="4">
    <brk id="22" min="4" max="36" man="1"/>
    <brk id="34" min="4" max="36" man="1"/>
    <brk id="46" min="4" max="36" man="1"/>
    <brk id="58" min="4" max="36" man="1"/>
  </colBreaks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53109-989D-4E80-ACA8-FBCB4B74C1D2}">
  <sheetPr>
    <tabColor rgb="FFBDD7EE"/>
    <pageSetUpPr fitToPage="1"/>
  </sheetPr>
  <dimension ref="A1:BR33"/>
  <sheetViews>
    <sheetView showGridLines="0" showRowColHeaders="0" showZeros="0" zoomScaleNormal="100" zoomScaleSheetLayoutView="100" workbookViewId="0">
      <pane xSplit="3" ySplit="3" topLeftCell="D4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ColWidth="6.6640625" defaultRowHeight="13.2" x14ac:dyDescent="0.3"/>
  <cols>
    <col min="1" max="1" width="3" style="3" customWidth="1"/>
    <col min="2" max="2" width="21.6640625" style="4" customWidth="1"/>
    <col min="3" max="4" width="0.6640625" style="5" customWidth="1"/>
    <col min="5" max="9" width="8.33203125" style="5" customWidth="1"/>
    <col min="10" max="10" width="2.21875" style="5" customWidth="1"/>
    <col min="11" max="70" width="8.33203125" style="5" customWidth="1"/>
    <col min="71" max="16384" width="6.6640625" style="5"/>
  </cols>
  <sheetData>
    <row r="1" spans="1:70" s="3" customFormat="1" ht="10.199999999999999" x14ac:dyDescent="0.2">
      <c r="A1" s="1" t="s">
        <v>0</v>
      </c>
      <c r="B1" s="118"/>
    </row>
    <row r="2" spans="1:70" ht="22.8" customHeight="1" x14ac:dyDescent="0.3"/>
    <row r="3" spans="1:70" s="111" customFormat="1" ht="21" x14ac:dyDescent="0.4">
      <c r="B3" s="110" t="s">
        <v>120</v>
      </c>
      <c r="C3" s="186"/>
      <c r="D3" s="186"/>
      <c r="E3" s="165">
        <v>1</v>
      </c>
      <c r="F3" s="165">
        <v>2</v>
      </c>
      <c r="G3" s="165">
        <v>3</v>
      </c>
      <c r="H3" s="165">
        <v>4</v>
      </c>
      <c r="I3" s="165">
        <v>5</v>
      </c>
      <c r="J3" s="187"/>
      <c r="K3" s="166">
        <v>1</v>
      </c>
      <c r="L3" s="166">
        <v>2</v>
      </c>
      <c r="M3" s="166">
        <v>3</v>
      </c>
      <c r="N3" s="166">
        <v>4</v>
      </c>
      <c r="O3" s="166">
        <v>5</v>
      </c>
      <c r="P3" s="166">
        <v>6</v>
      </c>
      <c r="Q3" s="166">
        <v>7</v>
      </c>
      <c r="R3" s="166">
        <v>8</v>
      </c>
      <c r="S3" s="166">
        <v>9</v>
      </c>
      <c r="T3" s="166">
        <v>10</v>
      </c>
      <c r="U3" s="166">
        <v>11</v>
      </c>
      <c r="V3" s="167">
        <v>12</v>
      </c>
      <c r="W3" s="166">
        <v>13</v>
      </c>
      <c r="X3" s="166">
        <v>14</v>
      </c>
      <c r="Y3" s="166">
        <v>15</v>
      </c>
      <c r="Z3" s="166">
        <v>16</v>
      </c>
      <c r="AA3" s="166">
        <v>17</v>
      </c>
      <c r="AB3" s="166">
        <v>18</v>
      </c>
      <c r="AC3" s="166">
        <v>19</v>
      </c>
      <c r="AD3" s="166">
        <v>20</v>
      </c>
      <c r="AE3" s="166">
        <v>21</v>
      </c>
      <c r="AF3" s="166">
        <v>22</v>
      </c>
      <c r="AG3" s="166">
        <v>23</v>
      </c>
      <c r="AH3" s="167">
        <v>24</v>
      </c>
      <c r="AI3" s="166">
        <v>25</v>
      </c>
      <c r="AJ3" s="166">
        <v>26</v>
      </c>
      <c r="AK3" s="166">
        <v>27</v>
      </c>
      <c r="AL3" s="166">
        <v>28</v>
      </c>
      <c r="AM3" s="166">
        <v>29</v>
      </c>
      <c r="AN3" s="166">
        <v>30</v>
      </c>
      <c r="AO3" s="166">
        <v>31</v>
      </c>
      <c r="AP3" s="166">
        <v>32</v>
      </c>
      <c r="AQ3" s="166">
        <v>33</v>
      </c>
      <c r="AR3" s="166">
        <v>34</v>
      </c>
      <c r="AS3" s="166">
        <v>35</v>
      </c>
      <c r="AT3" s="167">
        <v>36</v>
      </c>
      <c r="AU3" s="166">
        <v>37</v>
      </c>
      <c r="AV3" s="166">
        <v>38</v>
      </c>
      <c r="AW3" s="166">
        <v>39</v>
      </c>
      <c r="AX3" s="166">
        <v>40</v>
      </c>
      <c r="AY3" s="166">
        <v>41</v>
      </c>
      <c r="AZ3" s="166">
        <v>42</v>
      </c>
      <c r="BA3" s="166">
        <v>43</v>
      </c>
      <c r="BB3" s="166">
        <v>44</v>
      </c>
      <c r="BC3" s="166">
        <v>45</v>
      </c>
      <c r="BD3" s="166">
        <v>46</v>
      </c>
      <c r="BE3" s="166">
        <v>47</v>
      </c>
      <c r="BF3" s="167">
        <v>48</v>
      </c>
      <c r="BG3" s="166">
        <v>49</v>
      </c>
      <c r="BH3" s="166">
        <v>50</v>
      </c>
      <c r="BI3" s="166">
        <v>51</v>
      </c>
      <c r="BJ3" s="166">
        <v>52</v>
      </c>
      <c r="BK3" s="166">
        <v>53</v>
      </c>
      <c r="BL3" s="166">
        <v>54</v>
      </c>
      <c r="BM3" s="166">
        <v>55</v>
      </c>
      <c r="BN3" s="166">
        <v>56</v>
      </c>
      <c r="BO3" s="166">
        <v>57</v>
      </c>
      <c r="BP3" s="166">
        <v>58</v>
      </c>
      <c r="BQ3" s="166">
        <v>59</v>
      </c>
      <c r="BR3" s="167">
        <v>60</v>
      </c>
    </row>
    <row r="4" spans="1:70" ht="6" customHeight="1" x14ac:dyDescent="0.3"/>
    <row r="5" spans="1:70" s="105" customFormat="1" x14ac:dyDescent="0.3">
      <c r="A5" s="14"/>
      <c r="B5" s="251" t="s">
        <v>121</v>
      </c>
      <c r="E5" s="226">
        <f ca="1">V5</f>
        <v>200</v>
      </c>
      <c r="F5" s="226">
        <f ca="1">AH5</f>
        <v>200</v>
      </c>
      <c r="G5" s="226">
        <f ca="1">AT5</f>
        <v>200</v>
      </c>
      <c r="H5" s="226">
        <f ca="1">BF5</f>
        <v>200</v>
      </c>
      <c r="I5" s="226">
        <f ca="1">BR5</f>
        <v>200</v>
      </c>
      <c r="K5" s="93">
        <f ca="1">Credit!K45</f>
        <v>200</v>
      </c>
      <c r="L5" s="93">
        <f ca="1">Credit!L45</f>
        <v>200</v>
      </c>
      <c r="M5" s="93">
        <f ca="1">Credit!M45</f>
        <v>200</v>
      </c>
      <c r="N5" s="93">
        <f ca="1">Credit!N45</f>
        <v>200</v>
      </c>
      <c r="O5" s="93">
        <f ca="1">Credit!O45</f>
        <v>200</v>
      </c>
      <c r="P5" s="93">
        <f ca="1">Credit!P45</f>
        <v>200</v>
      </c>
      <c r="Q5" s="93">
        <f ca="1">Credit!Q45</f>
        <v>200</v>
      </c>
      <c r="R5" s="93">
        <f ca="1">Credit!R45</f>
        <v>200</v>
      </c>
      <c r="S5" s="93">
        <f ca="1">Credit!S45</f>
        <v>200</v>
      </c>
      <c r="T5" s="93">
        <f ca="1">Credit!T45</f>
        <v>200</v>
      </c>
      <c r="U5" s="93">
        <f ca="1">Credit!U45</f>
        <v>200</v>
      </c>
      <c r="V5" s="253">
        <f ca="1">Credit!V45</f>
        <v>200</v>
      </c>
      <c r="W5" s="93">
        <f ca="1">Credit!W45</f>
        <v>200</v>
      </c>
      <c r="X5" s="93">
        <f ca="1">Credit!X45</f>
        <v>200</v>
      </c>
      <c r="Y5" s="93">
        <f ca="1">Credit!Y45</f>
        <v>200</v>
      </c>
      <c r="Z5" s="93">
        <f ca="1">Credit!Z45</f>
        <v>200</v>
      </c>
      <c r="AA5" s="93">
        <f ca="1">Credit!AA45</f>
        <v>200</v>
      </c>
      <c r="AB5" s="93">
        <f ca="1">Credit!AB45</f>
        <v>200</v>
      </c>
      <c r="AC5" s="93">
        <f ca="1">Credit!AC45</f>
        <v>200</v>
      </c>
      <c r="AD5" s="93">
        <f ca="1">Credit!AD45</f>
        <v>200</v>
      </c>
      <c r="AE5" s="93">
        <f ca="1">Credit!AE45</f>
        <v>200</v>
      </c>
      <c r="AF5" s="93">
        <f ca="1">Credit!AF45</f>
        <v>200</v>
      </c>
      <c r="AG5" s="93">
        <f ca="1">Credit!AG45</f>
        <v>200</v>
      </c>
      <c r="AH5" s="253">
        <f ca="1">Credit!AH45</f>
        <v>200</v>
      </c>
      <c r="AI5" s="93">
        <f ca="1">Credit!AI45</f>
        <v>200</v>
      </c>
      <c r="AJ5" s="93">
        <f ca="1">Credit!AJ45</f>
        <v>200</v>
      </c>
      <c r="AK5" s="93">
        <f ca="1">Credit!AK45</f>
        <v>200</v>
      </c>
      <c r="AL5" s="93">
        <f ca="1">Credit!AL45</f>
        <v>200</v>
      </c>
      <c r="AM5" s="93">
        <f ca="1">Credit!AM45</f>
        <v>200</v>
      </c>
      <c r="AN5" s="93">
        <f ca="1">Credit!AN45</f>
        <v>200</v>
      </c>
      <c r="AO5" s="93">
        <f ca="1">Credit!AO45</f>
        <v>200</v>
      </c>
      <c r="AP5" s="93">
        <f ca="1">Credit!AP45</f>
        <v>200</v>
      </c>
      <c r="AQ5" s="93">
        <f ca="1">Credit!AQ45</f>
        <v>200</v>
      </c>
      <c r="AR5" s="93">
        <f ca="1">Credit!AR45</f>
        <v>200</v>
      </c>
      <c r="AS5" s="93">
        <f ca="1">Credit!AS45</f>
        <v>200</v>
      </c>
      <c r="AT5" s="253">
        <f ca="1">Credit!AT45</f>
        <v>200</v>
      </c>
      <c r="AU5" s="93">
        <f ca="1">Credit!AU45</f>
        <v>200</v>
      </c>
      <c r="AV5" s="93">
        <f ca="1">Credit!AV45</f>
        <v>200</v>
      </c>
      <c r="AW5" s="93">
        <f ca="1">Credit!AW45</f>
        <v>200</v>
      </c>
      <c r="AX5" s="93">
        <f ca="1">Credit!AX45</f>
        <v>200</v>
      </c>
      <c r="AY5" s="93">
        <f ca="1">Credit!AY45</f>
        <v>200</v>
      </c>
      <c r="AZ5" s="93">
        <f ca="1">Credit!AZ45</f>
        <v>200</v>
      </c>
      <c r="BA5" s="93">
        <f ca="1">Credit!BA45</f>
        <v>200</v>
      </c>
      <c r="BB5" s="93">
        <f ca="1">Credit!BB45</f>
        <v>200</v>
      </c>
      <c r="BC5" s="93">
        <f ca="1">Credit!BC45</f>
        <v>200</v>
      </c>
      <c r="BD5" s="93">
        <f ca="1">Credit!BD45</f>
        <v>200</v>
      </c>
      <c r="BE5" s="93">
        <f ca="1">Credit!BE45</f>
        <v>200</v>
      </c>
      <c r="BF5" s="253">
        <f ca="1">Credit!BF45</f>
        <v>200</v>
      </c>
      <c r="BG5" s="93">
        <f ca="1">Credit!BG45</f>
        <v>200</v>
      </c>
      <c r="BH5" s="93">
        <f ca="1">Credit!BH45</f>
        <v>200</v>
      </c>
      <c r="BI5" s="93">
        <f ca="1">Credit!BI45</f>
        <v>200</v>
      </c>
      <c r="BJ5" s="93">
        <f ca="1">Credit!BJ45</f>
        <v>200</v>
      </c>
      <c r="BK5" s="93">
        <f ca="1">Credit!BK45</f>
        <v>200</v>
      </c>
      <c r="BL5" s="93">
        <f ca="1">Credit!BL45</f>
        <v>200</v>
      </c>
      <c r="BM5" s="93">
        <f ca="1">Credit!BM45</f>
        <v>200</v>
      </c>
      <c r="BN5" s="93">
        <f ca="1">Credit!BN45</f>
        <v>200</v>
      </c>
      <c r="BO5" s="93">
        <f ca="1">Credit!BO45</f>
        <v>200</v>
      </c>
      <c r="BP5" s="93">
        <f ca="1">Credit!BP45</f>
        <v>200</v>
      </c>
      <c r="BQ5" s="93">
        <f ca="1">Credit!BQ45</f>
        <v>200</v>
      </c>
      <c r="BR5" s="253">
        <f ca="1">Credit!BR45</f>
        <v>200</v>
      </c>
    </row>
    <row r="6" spans="1:70" s="105" customFormat="1" x14ac:dyDescent="0.3">
      <c r="A6" s="14"/>
      <c r="B6" s="251" t="str">
        <f>Loans!B23</f>
        <v>Loans Outstanding</v>
      </c>
      <c r="C6" s="105">
        <f>Loans!C23</f>
        <v>0</v>
      </c>
      <c r="D6" s="105">
        <f>Loans!D23</f>
        <v>0</v>
      </c>
      <c r="E6" s="226">
        <f ca="1">Loans!E23</f>
        <v>15219.567975974614</v>
      </c>
      <c r="F6" s="226">
        <f ca="1">Loans!F23</f>
        <v>17226.833577787984</v>
      </c>
      <c r="G6" s="226">
        <f ca="1">Loans!G23</f>
        <v>16979.823179208874</v>
      </c>
      <c r="H6" s="226">
        <f ca="1">Loans!H23</f>
        <v>17230.77041967649</v>
      </c>
      <c r="I6" s="226">
        <f ca="1">Loans!I23</f>
        <v>17216.354835248188</v>
      </c>
      <c r="J6" s="105">
        <f>Loans!J23</f>
        <v>0</v>
      </c>
      <c r="K6" s="93">
        <f ca="1">Loans!K23</f>
        <v>2375.4855455869674</v>
      </c>
      <c r="L6" s="93">
        <f ca="1">Loans!L23</f>
        <v>4639.8928317982836</v>
      </c>
      <c r="M6" s="93">
        <f ca="1">Loans!M23</f>
        <v>6790.9539033831561</v>
      </c>
      <c r="N6" s="93">
        <f ca="1">Loans!N23</f>
        <v>8028.7169716616345</v>
      </c>
      <c r="O6" s="93">
        <f ca="1">Loans!O23</f>
        <v>9192.1215273880443</v>
      </c>
      <c r="P6" s="93">
        <f ca="1">Loans!P23</f>
        <v>10283.364858265906</v>
      </c>
      <c r="Q6" s="93">
        <f ca="1">Loans!Q23</f>
        <v>11300.994215090492</v>
      </c>
      <c r="R6" s="93">
        <f ca="1">Loans!R23</f>
        <v>12243.532866708625</v>
      </c>
      <c r="S6" s="93">
        <f ca="1">Loans!S23</f>
        <v>13109.479725681656</v>
      </c>
      <c r="T6" s="93">
        <f ca="1">Loans!T23</f>
        <v>13895.129987829789</v>
      </c>
      <c r="U6" s="93">
        <f ca="1">Loans!U23</f>
        <v>14598.99613059229</v>
      </c>
      <c r="V6" s="253">
        <f ca="1">Loans!V23</f>
        <v>15219.567975974614</v>
      </c>
      <c r="W6" s="93">
        <f ca="1">Loans!W23</f>
        <v>15758.621389960876</v>
      </c>
      <c r="X6" s="93">
        <f ca="1">Loans!X23</f>
        <v>16212.053909899045</v>
      </c>
      <c r="Y6" s="93">
        <f ca="1">Loans!Y23</f>
        <v>16578.255304213482</v>
      </c>
      <c r="Z6" s="93">
        <f ca="1">Loans!Z23</f>
        <v>16855.590095986852</v>
      </c>
      <c r="AA6" s="93">
        <f ca="1">Loans!AA23</f>
        <v>17042.397188056239</v>
      </c>
      <c r="AB6" s="93">
        <f ca="1">Loans!AB23</f>
        <v>17136.989482635716</v>
      </c>
      <c r="AC6" s="93">
        <f ca="1">Loans!AC23</f>
        <v>17231.653977546765</v>
      </c>
      <c r="AD6" s="93">
        <f ca="1">Loans!AD23</f>
        <v>17231.870524432539</v>
      </c>
      <c r="AE6" s="93">
        <f ca="1">Loans!AE23</f>
        <v>17231.435515156154</v>
      </c>
      <c r="AF6" s="93">
        <f ca="1">Loans!AF23</f>
        <v>17230.409058054287</v>
      </c>
      <c r="AG6" s="93">
        <f ca="1">Loans!AG23</f>
        <v>17228.853519186658</v>
      </c>
      <c r="AH6" s="253">
        <f ca="1">Loans!AH23</f>
        <v>17226.833577787984</v>
      </c>
      <c r="AI6" s="93">
        <f ca="1">Loans!AI23</f>
        <v>17224.416282876555</v>
      </c>
      <c r="AJ6" s="93">
        <f ca="1">Loans!AJ23</f>
        <v>17178.011281585077</v>
      </c>
      <c r="AK6" s="93">
        <f ca="1">Loans!AK23</f>
        <v>17133.548234029819</v>
      </c>
      <c r="AL6" s="93">
        <f ca="1">Loans!AL23</f>
        <v>17091.127692583905</v>
      </c>
      <c r="AM6" s="93">
        <f ca="1">Loans!AM23</f>
        <v>17115.671130773353</v>
      </c>
      <c r="AN6" s="93">
        <f ca="1">Loans!AN23</f>
        <v>17091.809205112797</v>
      </c>
      <c r="AO6" s="93">
        <f ca="1">Loans!AO23</f>
        <v>17069.403815541249</v>
      </c>
      <c r="AP6" s="93">
        <f ca="1">Loans!AP23</f>
        <v>17048.471808309645</v>
      </c>
      <c r="AQ6" s="93">
        <f ca="1">Loans!AQ23</f>
        <v>17029.030274736779</v>
      </c>
      <c r="AR6" s="93">
        <f ca="1">Loans!AR23</f>
        <v>17011.096554717798</v>
      </c>
      <c r="AS6" s="93">
        <f ca="1">Loans!AS23</f>
        <v>16994.68824028318</v>
      </c>
      <c r="AT6" s="253">
        <f ca="1">Loans!AT23</f>
        <v>16979.823179208874</v>
      </c>
      <c r="AU6" s="93">
        <f ca="1">Loans!AU23</f>
        <v>16966.519478678401</v>
      </c>
      <c r="AV6" s="93">
        <f ca="1">Loans!AV23</f>
        <v>16954.795508997609</v>
      </c>
      <c r="AW6" s="93">
        <f ca="1">Loans!AW23</f>
        <v>16944.669907362877</v>
      </c>
      <c r="AX6" s="93">
        <f ca="1">Loans!AX23</f>
        <v>16936.161581683515</v>
      </c>
      <c r="AY6" s="93">
        <f ca="1">Loans!AY23</f>
        <v>16929.289714459152</v>
      </c>
      <c r="AZ6" s="93">
        <f ca="1">Loans!AZ23</f>
        <v>17030.770383497649</v>
      </c>
      <c r="BA6" s="93">
        <f ca="1">Loans!BA23</f>
        <v>17133.713322317024</v>
      </c>
      <c r="BB6" s="93">
        <f ca="1">Loans!BB23</f>
        <v>17238.138881103816</v>
      </c>
      <c r="BC6" s="93">
        <f ca="1">Loans!BC23</f>
        <v>17236.178935374293</v>
      </c>
      <c r="BD6" s="93">
        <f ca="1">Loans!BD23</f>
        <v>17234.297340556255</v>
      </c>
      <c r="BE6" s="93">
        <f ca="1">Loans!BE23</f>
        <v>17232.494400253625</v>
      </c>
      <c r="BF6" s="253">
        <f ca="1">Loans!BF23</f>
        <v>17230.77041967649</v>
      </c>
      <c r="BG6" s="93">
        <f ca="1">Loans!BG23</f>
        <v>17229.125705649047</v>
      </c>
      <c r="BH6" s="93">
        <f ca="1">Loans!BH23</f>
        <v>17227.560566617591</v>
      </c>
      <c r="BI6" s="93">
        <f ca="1">Loans!BI23</f>
        <v>17226.075312658533</v>
      </c>
      <c r="BJ6" s="93">
        <f ca="1">Loans!BJ23</f>
        <v>17224.670255486475</v>
      </c>
      <c r="BK6" s="93">
        <f ca="1">Loans!BK23</f>
        <v>17223.345708462293</v>
      </c>
      <c r="BL6" s="93">
        <f ca="1">Loans!BL23</f>
        <v>17222.10198660129</v>
      </c>
      <c r="BM6" s="93">
        <f ca="1">Loans!BM23</f>
        <v>17220.93940658139</v>
      </c>
      <c r="BN6" s="93">
        <f ca="1">Loans!BN23</f>
        <v>17219.85828675134</v>
      </c>
      <c r="BO6" s="93">
        <f ca="1">Loans!BO23</f>
        <v>17218.858947139004</v>
      </c>
      <c r="BP6" s="93">
        <f ca="1">Loans!BP23</f>
        <v>17217.94170945965</v>
      </c>
      <c r="BQ6" s="93">
        <f ca="1">Loans!BQ23</f>
        <v>17217.106897124315</v>
      </c>
      <c r="BR6" s="253">
        <f ca="1">Loans!BR23</f>
        <v>17216.354835248188</v>
      </c>
    </row>
    <row r="7" spans="1:70" s="105" customFormat="1" x14ac:dyDescent="0.3">
      <c r="A7" s="14"/>
      <c r="B7" s="315" t="str">
        <f>Loans!B24</f>
        <v>Loss Reserve</v>
      </c>
      <c r="C7" s="105">
        <f>Loans!C24</f>
        <v>0</v>
      </c>
      <c r="D7" s="105">
        <f>Loans!D24</f>
        <v>0</v>
      </c>
      <c r="E7" s="319">
        <f ca="1">Loans!E24</f>
        <v>760.97839879873072</v>
      </c>
      <c r="F7" s="319">
        <f ca="1">Loans!F24</f>
        <v>861.34167888939919</v>
      </c>
      <c r="G7" s="319">
        <f ca="1">Loans!G24</f>
        <v>848.99115896044373</v>
      </c>
      <c r="H7" s="319">
        <f ca="1">Loans!H24</f>
        <v>861.53852098382458</v>
      </c>
      <c r="I7" s="319">
        <f ca="1">Loans!I24</f>
        <v>860.81774176240947</v>
      </c>
      <c r="J7" s="316">
        <f>Loans!J24</f>
        <v>0</v>
      </c>
      <c r="K7" s="317">
        <f ca="1">Loans!K24</f>
        <v>118.77427727934838</v>
      </c>
      <c r="L7" s="317">
        <f ca="1">Loans!L24</f>
        <v>231.99464158991418</v>
      </c>
      <c r="M7" s="317">
        <f ca="1">Loans!M24</f>
        <v>339.54769516915781</v>
      </c>
      <c r="N7" s="317">
        <f ca="1">Loans!N24</f>
        <v>401.43584858308174</v>
      </c>
      <c r="O7" s="317">
        <f ca="1">Loans!O24</f>
        <v>459.60607636940222</v>
      </c>
      <c r="P7" s="317">
        <f ca="1">Loans!P24</f>
        <v>514.16824291329533</v>
      </c>
      <c r="Q7" s="317">
        <f ca="1">Loans!Q24</f>
        <v>565.04971075452465</v>
      </c>
      <c r="R7" s="317">
        <f ca="1">Loans!R24</f>
        <v>612.17664333543132</v>
      </c>
      <c r="S7" s="317">
        <f ca="1">Loans!S24</f>
        <v>655.47398628408291</v>
      </c>
      <c r="T7" s="317">
        <f ca="1">Loans!T24</f>
        <v>694.75649939148946</v>
      </c>
      <c r="U7" s="317">
        <f ca="1">Loans!U24</f>
        <v>729.94980652961453</v>
      </c>
      <c r="V7" s="318">
        <f ca="1">Loans!V24</f>
        <v>760.97839879873072</v>
      </c>
      <c r="W7" s="317">
        <f ca="1">Loans!W24</f>
        <v>787.93106949804383</v>
      </c>
      <c r="X7" s="317">
        <f ca="1">Loans!X24</f>
        <v>810.60269549495229</v>
      </c>
      <c r="Y7" s="317">
        <f ca="1">Loans!Y24</f>
        <v>828.91276521067414</v>
      </c>
      <c r="Z7" s="317">
        <f ca="1">Loans!Z24</f>
        <v>842.7795047993427</v>
      </c>
      <c r="AA7" s="317">
        <f ca="1">Loans!AA24</f>
        <v>852.11985940281193</v>
      </c>
      <c r="AB7" s="317">
        <f ca="1">Loans!AB24</f>
        <v>856.84947413178588</v>
      </c>
      <c r="AC7" s="317">
        <f ca="1">Loans!AC24</f>
        <v>861.58269887733832</v>
      </c>
      <c r="AD7" s="317">
        <f ca="1">Loans!AD24</f>
        <v>861.59352622162703</v>
      </c>
      <c r="AE7" s="317">
        <f ca="1">Loans!AE24</f>
        <v>861.5717757578077</v>
      </c>
      <c r="AF7" s="317">
        <f ca="1">Loans!AF24</f>
        <v>861.5204529027144</v>
      </c>
      <c r="AG7" s="317">
        <f ca="1">Loans!AG24</f>
        <v>861.44267595933297</v>
      </c>
      <c r="AH7" s="318">
        <f ca="1">Loans!AH24</f>
        <v>861.34167888939919</v>
      </c>
      <c r="AI7" s="317">
        <f ca="1">Loans!AI24</f>
        <v>861.22081414382774</v>
      </c>
      <c r="AJ7" s="317">
        <f ca="1">Loans!AJ24</f>
        <v>858.90056407925385</v>
      </c>
      <c r="AK7" s="317">
        <f ca="1">Loans!AK24</f>
        <v>856.677411701491</v>
      </c>
      <c r="AL7" s="317">
        <f ca="1">Loans!AL24</f>
        <v>854.55638462919524</v>
      </c>
      <c r="AM7" s="317">
        <f ca="1">Loans!AM24</f>
        <v>855.78355653866765</v>
      </c>
      <c r="AN7" s="317">
        <f ca="1">Loans!AN24</f>
        <v>854.59046025563987</v>
      </c>
      <c r="AO7" s="317">
        <f ca="1">Loans!AO24</f>
        <v>853.4701907770625</v>
      </c>
      <c r="AP7" s="317">
        <f ca="1">Loans!AP24</f>
        <v>852.42359041548229</v>
      </c>
      <c r="AQ7" s="317">
        <f ca="1">Loans!AQ24</f>
        <v>851.45151373683893</v>
      </c>
      <c r="AR7" s="317">
        <f ca="1">Loans!AR24</f>
        <v>850.55482773588994</v>
      </c>
      <c r="AS7" s="317">
        <f ca="1">Loans!AS24</f>
        <v>849.73441201415903</v>
      </c>
      <c r="AT7" s="318">
        <f ca="1">Loans!AT24</f>
        <v>848.99115896044373</v>
      </c>
      <c r="AU7" s="317">
        <f ca="1">Loans!AU24</f>
        <v>848.32597393392007</v>
      </c>
      <c r="AV7" s="317">
        <f ca="1">Loans!AV24</f>
        <v>847.73977544988054</v>
      </c>
      <c r="AW7" s="317">
        <f ca="1">Loans!AW24</f>
        <v>847.23349536814385</v>
      </c>
      <c r="AX7" s="317">
        <f ca="1">Loans!AX24</f>
        <v>846.8080790841758</v>
      </c>
      <c r="AY7" s="317">
        <f ca="1">Loans!AY24</f>
        <v>846.46448572295765</v>
      </c>
      <c r="AZ7" s="317">
        <f ca="1">Loans!AZ24</f>
        <v>851.53851917488248</v>
      </c>
      <c r="BA7" s="317">
        <f ca="1">Loans!BA24</f>
        <v>856.68566611585129</v>
      </c>
      <c r="BB7" s="317">
        <f ca="1">Loans!BB24</f>
        <v>861.90694405519082</v>
      </c>
      <c r="BC7" s="317">
        <f ca="1">Loans!BC24</f>
        <v>861.80894676871469</v>
      </c>
      <c r="BD7" s="317">
        <f ca="1">Loans!BD24</f>
        <v>861.71486702781283</v>
      </c>
      <c r="BE7" s="317">
        <f ca="1">Loans!BE24</f>
        <v>861.62472001268134</v>
      </c>
      <c r="BF7" s="318">
        <f ca="1">Loans!BF24</f>
        <v>861.53852098382458</v>
      </c>
      <c r="BG7" s="317">
        <f ca="1">Loans!BG24</f>
        <v>861.45628528245243</v>
      </c>
      <c r="BH7" s="317">
        <f ca="1">Loans!BH24</f>
        <v>861.3780283308796</v>
      </c>
      <c r="BI7" s="317">
        <f ca="1">Loans!BI24</f>
        <v>861.30376563292668</v>
      </c>
      <c r="BJ7" s="317">
        <f ca="1">Loans!BJ24</f>
        <v>861.2335127743238</v>
      </c>
      <c r="BK7" s="317">
        <f ca="1">Loans!BK24</f>
        <v>861.16728542311466</v>
      </c>
      <c r="BL7" s="317">
        <f ca="1">Loans!BL24</f>
        <v>861.1050993300646</v>
      </c>
      <c r="BM7" s="317">
        <f ca="1">Loans!BM24</f>
        <v>861.04697032906961</v>
      </c>
      <c r="BN7" s="317">
        <f ca="1">Loans!BN24</f>
        <v>860.99291433756707</v>
      </c>
      <c r="BO7" s="317">
        <f ca="1">Loans!BO24</f>
        <v>860.9429473569503</v>
      </c>
      <c r="BP7" s="317">
        <f ca="1">Loans!BP24</f>
        <v>860.89708547298255</v>
      </c>
      <c r="BQ7" s="317">
        <f ca="1">Loans!BQ24</f>
        <v>860.85534485621577</v>
      </c>
      <c r="BR7" s="318">
        <f ca="1">Loans!BR24</f>
        <v>860.81774176240947</v>
      </c>
    </row>
    <row r="8" spans="1:70" s="105" customFormat="1" x14ac:dyDescent="0.3">
      <c r="A8" s="6"/>
      <c r="B8" s="252" t="s">
        <v>93</v>
      </c>
      <c r="C8" s="94"/>
      <c r="D8" s="94"/>
      <c r="E8" s="210">
        <f t="shared" ref="E8:E31" ca="1" si="0">V8</f>
        <v>14458.589577175884</v>
      </c>
      <c r="F8" s="210">
        <f t="shared" ref="F8:F31" ca="1" si="1">AH8</f>
        <v>16365.491898898585</v>
      </c>
      <c r="G8" s="210">
        <f t="shared" ref="G8:G31" ca="1" si="2">AT8</f>
        <v>16130.83202024843</v>
      </c>
      <c r="H8" s="210">
        <f t="shared" ref="H8:H31" ca="1" si="3">BF8</f>
        <v>16369.231898692666</v>
      </c>
      <c r="I8" s="210">
        <f t="shared" ref="I8:I31" ca="1" si="4">BR8</f>
        <v>16355.537093485778</v>
      </c>
      <c r="J8" s="94"/>
      <c r="K8" s="123">
        <f ca="1">Loans!K25</f>
        <v>2256.7112683076189</v>
      </c>
      <c r="L8" s="123">
        <f ca="1">Loans!L25</f>
        <v>4407.8981902083697</v>
      </c>
      <c r="M8" s="123">
        <f ca="1">Loans!M25</f>
        <v>6451.4062082139981</v>
      </c>
      <c r="N8" s="123">
        <f ca="1">Loans!N25</f>
        <v>7627.2811230785528</v>
      </c>
      <c r="O8" s="123">
        <f ca="1">Loans!O25</f>
        <v>8732.5154510186421</v>
      </c>
      <c r="P8" s="123">
        <f ca="1">Loans!P25</f>
        <v>9769.19661535261</v>
      </c>
      <c r="Q8" s="123">
        <f ca="1">Loans!Q25</f>
        <v>10735.944504335966</v>
      </c>
      <c r="R8" s="123">
        <f ca="1">Loans!R25</f>
        <v>11631.356223373194</v>
      </c>
      <c r="S8" s="123">
        <f ca="1">Loans!S25</f>
        <v>12454.005739397573</v>
      </c>
      <c r="T8" s="123">
        <f ca="1">Loans!T25</f>
        <v>13200.373488438299</v>
      </c>
      <c r="U8" s="123">
        <f ca="1">Loans!U25</f>
        <v>13869.046324062676</v>
      </c>
      <c r="V8" s="210">
        <f ca="1">Loans!V25</f>
        <v>14458.589577175884</v>
      </c>
      <c r="W8" s="123">
        <f ca="1">Loans!W25</f>
        <v>14970.690320462832</v>
      </c>
      <c r="X8" s="123">
        <f ca="1">Loans!X25</f>
        <v>15401.451214404093</v>
      </c>
      <c r="Y8" s="123">
        <f ca="1">Loans!Y25</f>
        <v>15749.342539002808</v>
      </c>
      <c r="Z8" s="123">
        <f ca="1">Loans!Z25</f>
        <v>16012.81059118751</v>
      </c>
      <c r="AA8" s="123">
        <f ca="1">Loans!AA25</f>
        <v>16190.277328653427</v>
      </c>
      <c r="AB8" s="123">
        <f ca="1">Loans!AB25</f>
        <v>16280.140008503929</v>
      </c>
      <c r="AC8" s="123">
        <f ca="1">Loans!AC25</f>
        <v>16370.071278669426</v>
      </c>
      <c r="AD8" s="123">
        <f ca="1">Loans!AD25</f>
        <v>16370.276998210913</v>
      </c>
      <c r="AE8" s="123">
        <f ca="1">Loans!AE25</f>
        <v>16369.863739398346</v>
      </c>
      <c r="AF8" s="123">
        <f ca="1">Loans!AF25</f>
        <v>16368.888605151573</v>
      </c>
      <c r="AG8" s="123">
        <f ca="1">Loans!AG25</f>
        <v>16367.410843227324</v>
      </c>
      <c r="AH8" s="210">
        <f ca="1">Loans!AH25</f>
        <v>16365.491898898585</v>
      </c>
      <c r="AI8" s="123">
        <f ca="1">Loans!AI25</f>
        <v>16363.195468732727</v>
      </c>
      <c r="AJ8" s="123">
        <f ca="1">Loans!AJ25</f>
        <v>16319.110717505824</v>
      </c>
      <c r="AK8" s="123">
        <f ca="1">Loans!AK25</f>
        <v>16276.870822328328</v>
      </c>
      <c r="AL8" s="123">
        <f ca="1">Loans!AL25</f>
        <v>16236.571307954709</v>
      </c>
      <c r="AM8" s="123">
        <f ca="1">Loans!AM25</f>
        <v>16259.887574234686</v>
      </c>
      <c r="AN8" s="123">
        <f ca="1">Loans!AN25</f>
        <v>16237.218744857157</v>
      </c>
      <c r="AO8" s="123">
        <f ca="1">Loans!AO25</f>
        <v>16215.933624764186</v>
      </c>
      <c r="AP8" s="123">
        <f ca="1">Loans!AP25</f>
        <v>16196.048217894162</v>
      </c>
      <c r="AQ8" s="123">
        <f ca="1">Loans!AQ25</f>
        <v>16177.578760999939</v>
      </c>
      <c r="AR8" s="123">
        <f ca="1">Loans!AR25</f>
        <v>16160.541726981908</v>
      </c>
      <c r="AS8" s="123">
        <f ca="1">Loans!AS25</f>
        <v>16144.953828269021</v>
      </c>
      <c r="AT8" s="210">
        <f ca="1">Loans!AT25</f>
        <v>16130.83202024843</v>
      </c>
      <c r="AU8" s="123">
        <f ca="1">Loans!AU25</f>
        <v>16118.193504744482</v>
      </c>
      <c r="AV8" s="123">
        <f ca="1">Loans!AV25</f>
        <v>16107.05573354773</v>
      </c>
      <c r="AW8" s="123">
        <f ca="1">Loans!AW25</f>
        <v>16097.436411994733</v>
      </c>
      <c r="AX8" s="123">
        <f ca="1">Loans!AX25</f>
        <v>16089.353502599339</v>
      </c>
      <c r="AY8" s="123">
        <f ca="1">Loans!AY25</f>
        <v>16082.825228736194</v>
      </c>
      <c r="AZ8" s="123">
        <f ca="1">Loans!AZ25</f>
        <v>16179.231864322766</v>
      </c>
      <c r="BA8" s="123">
        <f ca="1">Loans!BA25</f>
        <v>16277.027656201173</v>
      </c>
      <c r="BB8" s="123">
        <f ca="1">Loans!BB25</f>
        <v>16376.231937048626</v>
      </c>
      <c r="BC8" s="123">
        <f ca="1">Loans!BC25</f>
        <v>16374.369988605578</v>
      </c>
      <c r="BD8" s="123">
        <f ca="1">Loans!BD25</f>
        <v>16372.582473528442</v>
      </c>
      <c r="BE8" s="123">
        <f ca="1">Loans!BE25</f>
        <v>16370.869680240943</v>
      </c>
      <c r="BF8" s="210">
        <f ca="1">Loans!BF25</f>
        <v>16369.231898692666</v>
      </c>
      <c r="BG8" s="123">
        <f ca="1">Loans!BG25</f>
        <v>16367.669420366594</v>
      </c>
      <c r="BH8" s="123">
        <f ca="1">Loans!BH25</f>
        <v>16366.182538286712</v>
      </c>
      <c r="BI8" s="123">
        <f ca="1">Loans!BI25</f>
        <v>16364.771547025606</v>
      </c>
      <c r="BJ8" s="123">
        <f ca="1">Loans!BJ25</f>
        <v>16363.436742712151</v>
      </c>
      <c r="BK8" s="123">
        <f ca="1">Loans!BK25</f>
        <v>16362.178423039179</v>
      </c>
      <c r="BL8" s="123">
        <f ca="1">Loans!BL25</f>
        <v>16360.996887271225</v>
      </c>
      <c r="BM8" s="123">
        <f ca="1">Loans!BM25</f>
        <v>16359.892436252321</v>
      </c>
      <c r="BN8" s="123">
        <f ca="1">Loans!BN25</f>
        <v>16358.865372413773</v>
      </c>
      <c r="BO8" s="123">
        <f ca="1">Loans!BO25</f>
        <v>16357.915999782053</v>
      </c>
      <c r="BP8" s="123">
        <f ca="1">Loans!BP25</f>
        <v>16357.044623986667</v>
      </c>
      <c r="BQ8" s="123">
        <f ca="1">Loans!BQ25</f>
        <v>16356.251552268099</v>
      </c>
      <c r="BR8" s="210">
        <f ca="1">Loans!BR25</f>
        <v>16355.537093485778</v>
      </c>
    </row>
    <row r="9" spans="1:70" s="105" customFormat="1" x14ac:dyDescent="0.3">
      <c r="A9" s="14"/>
      <c r="B9" s="259" t="s">
        <v>122</v>
      </c>
      <c r="E9" s="105">
        <f t="shared" ca="1" si="0"/>
        <v>14658.589577175884</v>
      </c>
      <c r="F9" s="105">
        <f t="shared" ca="1" si="1"/>
        <v>16565.491898898585</v>
      </c>
      <c r="G9" s="105">
        <f t="shared" ca="1" si="2"/>
        <v>16330.83202024843</v>
      </c>
      <c r="H9" s="105">
        <f t="shared" ca="1" si="3"/>
        <v>16569.231898692666</v>
      </c>
      <c r="I9" s="105">
        <f t="shared" ca="1" si="4"/>
        <v>16555.537093485778</v>
      </c>
      <c r="K9" s="93">
        <f t="shared" ref="K9:AP9" ca="1" si="5">SUM(K5,K8)</f>
        <v>2456.7112683076189</v>
      </c>
      <c r="L9" s="93">
        <f t="shared" ca="1" si="5"/>
        <v>4607.8981902083697</v>
      </c>
      <c r="M9" s="93">
        <f t="shared" ca="1" si="5"/>
        <v>6651.4062082139981</v>
      </c>
      <c r="N9" s="93">
        <f t="shared" ca="1" si="5"/>
        <v>7827.2811230785528</v>
      </c>
      <c r="O9" s="93">
        <f t="shared" ca="1" si="5"/>
        <v>8932.5154510186421</v>
      </c>
      <c r="P9" s="93">
        <f t="shared" ca="1" si="5"/>
        <v>9969.19661535261</v>
      </c>
      <c r="Q9" s="93">
        <f t="shared" ca="1" si="5"/>
        <v>10935.944504335966</v>
      </c>
      <c r="R9" s="93">
        <f t="shared" ca="1" si="5"/>
        <v>11831.356223373194</v>
      </c>
      <c r="S9" s="93">
        <f t="shared" ca="1" si="5"/>
        <v>12654.005739397573</v>
      </c>
      <c r="T9" s="93">
        <f t="shared" ca="1" si="5"/>
        <v>13400.373488438299</v>
      </c>
      <c r="U9" s="93">
        <f t="shared" ca="1" si="5"/>
        <v>14069.046324062676</v>
      </c>
      <c r="V9" s="102">
        <f t="shared" ca="1" si="5"/>
        <v>14658.589577175884</v>
      </c>
      <c r="W9" s="93">
        <f t="shared" ca="1" si="5"/>
        <v>15170.690320462832</v>
      </c>
      <c r="X9" s="93">
        <f t="shared" ca="1" si="5"/>
        <v>15601.451214404093</v>
      </c>
      <c r="Y9" s="93">
        <f t="shared" ca="1" si="5"/>
        <v>15949.342539002808</v>
      </c>
      <c r="Z9" s="93">
        <f t="shared" ca="1" si="5"/>
        <v>16212.81059118751</v>
      </c>
      <c r="AA9" s="93">
        <f t="shared" ca="1" si="5"/>
        <v>16390.277328653428</v>
      </c>
      <c r="AB9" s="93">
        <f t="shared" ca="1" si="5"/>
        <v>16480.140008503928</v>
      </c>
      <c r="AC9" s="93">
        <f t="shared" ca="1" si="5"/>
        <v>16570.071278669428</v>
      </c>
      <c r="AD9" s="93">
        <f t="shared" ca="1" si="5"/>
        <v>16570.276998210913</v>
      </c>
      <c r="AE9" s="93">
        <f t="shared" ca="1" si="5"/>
        <v>16569.863739398344</v>
      </c>
      <c r="AF9" s="93">
        <f t="shared" ca="1" si="5"/>
        <v>16568.888605151573</v>
      </c>
      <c r="AG9" s="93">
        <f t="shared" ca="1" si="5"/>
        <v>16567.410843227324</v>
      </c>
      <c r="AH9" s="102">
        <f t="shared" ca="1" si="5"/>
        <v>16565.491898898585</v>
      </c>
      <c r="AI9" s="93">
        <f t="shared" ca="1" si="5"/>
        <v>16563.195468732727</v>
      </c>
      <c r="AJ9" s="93">
        <f t="shared" ca="1" si="5"/>
        <v>16519.110717505824</v>
      </c>
      <c r="AK9" s="93">
        <f t="shared" ca="1" si="5"/>
        <v>16476.870822328328</v>
      </c>
      <c r="AL9" s="93">
        <f t="shared" ca="1" si="5"/>
        <v>16436.571307954709</v>
      </c>
      <c r="AM9" s="93">
        <f t="shared" ca="1" si="5"/>
        <v>16459.887574234686</v>
      </c>
      <c r="AN9" s="93">
        <f t="shared" ca="1" si="5"/>
        <v>16437.218744857157</v>
      </c>
      <c r="AO9" s="93">
        <f t="shared" ca="1" si="5"/>
        <v>16415.933624764184</v>
      </c>
      <c r="AP9" s="93">
        <f t="shared" ca="1" si="5"/>
        <v>16396.04821789416</v>
      </c>
      <c r="AQ9" s="93">
        <f t="shared" ref="AQ9:BR9" ca="1" si="6">SUM(AQ5,AQ8)</f>
        <v>16377.578760999939</v>
      </c>
      <c r="AR9" s="93">
        <f t="shared" ca="1" si="6"/>
        <v>16360.541726981908</v>
      </c>
      <c r="AS9" s="93">
        <f t="shared" ca="1" si="6"/>
        <v>16344.953828269021</v>
      </c>
      <c r="AT9" s="102">
        <f t="shared" ca="1" si="6"/>
        <v>16330.83202024843</v>
      </c>
      <c r="AU9" s="93">
        <f t="shared" ca="1" si="6"/>
        <v>16318.193504744482</v>
      </c>
      <c r="AV9" s="93">
        <f t="shared" ca="1" si="6"/>
        <v>16307.05573354773</v>
      </c>
      <c r="AW9" s="93">
        <f t="shared" ca="1" si="6"/>
        <v>16297.436411994733</v>
      </c>
      <c r="AX9" s="93">
        <f t="shared" ca="1" si="6"/>
        <v>16289.353502599339</v>
      </c>
      <c r="AY9" s="93">
        <f t="shared" ca="1" si="6"/>
        <v>16282.825228736194</v>
      </c>
      <c r="AZ9" s="93">
        <f t="shared" ca="1" si="6"/>
        <v>16379.231864322766</v>
      </c>
      <c r="BA9" s="93">
        <f t="shared" ca="1" si="6"/>
        <v>16477.027656201171</v>
      </c>
      <c r="BB9" s="93">
        <f t="shared" ca="1" si="6"/>
        <v>16576.231937048626</v>
      </c>
      <c r="BC9" s="93">
        <f t="shared" ca="1" si="6"/>
        <v>16574.369988605577</v>
      </c>
      <c r="BD9" s="93">
        <f t="shared" ca="1" si="6"/>
        <v>16572.58247352844</v>
      </c>
      <c r="BE9" s="93">
        <f t="shared" ca="1" si="6"/>
        <v>16570.869680240943</v>
      </c>
      <c r="BF9" s="102">
        <f t="shared" ca="1" si="6"/>
        <v>16569.231898692666</v>
      </c>
      <c r="BG9" s="93">
        <f t="shared" ca="1" si="6"/>
        <v>16567.669420366594</v>
      </c>
      <c r="BH9" s="93">
        <f t="shared" ca="1" si="6"/>
        <v>16566.18253828671</v>
      </c>
      <c r="BI9" s="93">
        <f t="shared" ca="1" si="6"/>
        <v>16564.771547025608</v>
      </c>
      <c r="BJ9" s="93">
        <f t="shared" ca="1" si="6"/>
        <v>16563.436742712151</v>
      </c>
      <c r="BK9" s="93">
        <f t="shared" ca="1" si="6"/>
        <v>16562.178423039179</v>
      </c>
      <c r="BL9" s="93">
        <f t="shared" ca="1" si="6"/>
        <v>16560.996887271227</v>
      </c>
      <c r="BM9" s="93">
        <f t="shared" ca="1" si="6"/>
        <v>16559.892436252321</v>
      </c>
      <c r="BN9" s="93">
        <f t="shared" ca="1" si="6"/>
        <v>16558.865372413773</v>
      </c>
      <c r="BO9" s="93">
        <f t="shared" ca="1" si="6"/>
        <v>16557.915999782053</v>
      </c>
      <c r="BP9" s="93">
        <f t="shared" ca="1" si="6"/>
        <v>16557.044623986665</v>
      </c>
      <c r="BQ9" s="93">
        <f t="shared" ca="1" si="6"/>
        <v>16556.251552268099</v>
      </c>
      <c r="BR9" s="102">
        <f t="shared" ca="1" si="6"/>
        <v>16555.537093485778</v>
      </c>
    </row>
    <row r="10" spans="1:70" s="93" customFormat="1" x14ac:dyDescent="0.3">
      <c r="A10" s="14"/>
      <c r="B10" s="97" t="s">
        <v>47</v>
      </c>
      <c r="E10" s="96">
        <f t="shared" si="0"/>
        <v>250</v>
      </c>
      <c r="F10" s="96">
        <f t="shared" si="1"/>
        <v>0</v>
      </c>
      <c r="G10" s="96">
        <f t="shared" si="2"/>
        <v>0</v>
      </c>
      <c r="H10" s="96">
        <f t="shared" si="3"/>
        <v>0</v>
      </c>
      <c r="I10" s="96">
        <f t="shared" si="4"/>
        <v>0</v>
      </c>
      <c r="K10" s="95">
        <f>CapEx!K27</f>
        <v>0</v>
      </c>
      <c r="L10" s="95">
        <f>CapEx!L27</f>
        <v>0</v>
      </c>
      <c r="M10" s="95">
        <f>CapEx!M27</f>
        <v>0</v>
      </c>
      <c r="N10" s="95">
        <f>CapEx!N27</f>
        <v>250</v>
      </c>
      <c r="O10" s="95">
        <f>CapEx!O27</f>
        <v>250</v>
      </c>
      <c r="P10" s="95">
        <f>CapEx!P27</f>
        <v>250</v>
      </c>
      <c r="Q10" s="95">
        <f>CapEx!Q27</f>
        <v>250</v>
      </c>
      <c r="R10" s="95">
        <f>CapEx!R27</f>
        <v>250</v>
      </c>
      <c r="S10" s="95">
        <f>CapEx!S27</f>
        <v>250</v>
      </c>
      <c r="T10" s="95">
        <f>CapEx!T27</f>
        <v>250</v>
      </c>
      <c r="U10" s="95">
        <f>CapEx!U27</f>
        <v>250</v>
      </c>
      <c r="V10" s="96">
        <f>CapEx!V27</f>
        <v>250</v>
      </c>
      <c r="W10" s="94">
        <f>CapEx!W27</f>
        <v>250</v>
      </c>
      <c r="X10" s="95">
        <f>CapEx!X27</f>
        <v>250</v>
      </c>
      <c r="Y10" s="95">
        <f>CapEx!Y27</f>
        <v>250</v>
      </c>
      <c r="Z10" s="95">
        <f>CapEx!Z27</f>
        <v>250</v>
      </c>
      <c r="AA10" s="95">
        <f>CapEx!AA27</f>
        <v>250</v>
      </c>
      <c r="AB10" s="95">
        <f>CapEx!AB27</f>
        <v>250</v>
      </c>
      <c r="AC10" s="95">
        <f>CapEx!AC27</f>
        <v>250</v>
      </c>
      <c r="AD10" s="95">
        <f>CapEx!AD27</f>
        <v>250</v>
      </c>
      <c r="AE10" s="95">
        <f>CapEx!AE27</f>
        <v>0</v>
      </c>
      <c r="AF10" s="95">
        <f>CapEx!AF27</f>
        <v>0</v>
      </c>
      <c r="AG10" s="95">
        <f>CapEx!AG27</f>
        <v>0</v>
      </c>
      <c r="AH10" s="96">
        <f>CapEx!AH27</f>
        <v>0</v>
      </c>
      <c r="AI10" s="94">
        <f>CapEx!AI27</f>
        <v>0</v>
      </c>
      <c r="AJ10" s="95">
        <f>CapEx!AJ27</f>
        <v>0</v>
      </c>
      <c r="AK10" s="95">
        <f>CapEx!AK27</f>
        <v>0</v>
      </c>
      <c r="AL10" s="95">
        <f>CapEx!AL27</f>
        <v>0</v>
      </c>
      <c r="AM10" s="95">
        <f>CapEx!AM27</f>
        <v>0</v>
      </c>
      <c r="AN10" s="95">
        <f>CapEx!AN27</f>
        <v>0</v>
      </c>
      <c r="AO10" s="95">
        <f>CapEx!AO27</f>
        <v>0</v>
      </c>
      <c r="AP10" s="95">
        <f>CapEx!AP27</f>
        <v>0</v>
      </c>
      <c r="AQ10" s="95">
        <f>CapEx!AQ27</f>
        <v>0</v>
      </c>
      <c r="AR10" s="95">
        <f>CapEx!AR27</f>
        <v>0</v>
      </c>
      <c r="AS10" s="95">
        <f>CapEx!AS27</f>
        <v>0</v>
      </c>
      <c r="AT10" s="96">
        <f>CapEx!AT27</f>
        <v>0</v>
      </c>
      <c r="AU10" s="94">
        <f>CapEx!AU27</f>
        <v>0</v>
      </c>
      <c r="AV10" s="95">
        <f>CapEx!AV27</f>
        <v>0</v>
      </c>
      <c r="AW10" s="95">
        <f>CapEx!AW27</f>
        <v>0</v>
      </c>
      <c r="AX10" s="95">
        <f>CapEx!AX27</f>
        <v>0</v>
      </c>
      <c r="AY10" s="95">
        <f>CapEx!AY27</f>
        <v>0</v>
      </c>
      <c r="AZ10" s="95">
        <f>CapEx!AZ27</f>
        <v>0</v>
      </c>
      <c r="BA10" s="95">
        <f>CapEx!BA27</f>
        <v>0</v>
      </c>
      <c r="BB10" s="95">
        <f>CapEx!BB27</f>
        <v>0</v>
      </c>
      <c r="BC10" s="95">
        <f>CapEx!BC27</f>
        <v>0</v>
      </c>
      <c r="BD10" s="95">
        <f>CapEx!BD27</f>
        <v>0</v>
      </c>
      <c r="BE10" s="95">
        <f>CapEx!BE27</f>
        <v>0</v>
      </c>
      <c r="BF10" s="96">
        <f>CapEx!BF27</f>
        <v>0</v>
      </c>
      <c r="BG10" s="94">
        <f>CapEx!BG27</f>
        <v>0</v>
      </c>
      <c r="BH10" s="95">
        <f>CapEx!BH27</f>
        <v>0</v>
      </c>
      <c r="BI10" s="95">
        <f>CapEx!BI27</f>
        <v>0</v>
      </c>
      <c r="BJ10" s="95">
        <f>CapEx!BJ27</f>
        <v>0</v>
      </c>
      <c r="BK10" s="95">
        <f>CapEx!BK27</f>
        <v>0</v>
      </c>
      <c r="BL10" s="95">
        <f>CapEx!BL27</f>
        <v>0</v>
      </c>
      <c r="BM10" s="95">
        <f>CapEx!BM27</f>
        <v>0</v>
      </c>
      <c r="BN10" s="95">
        <f>CapEx!BN27</f>
        <v>0</v>
      </c>
      <c r="BO10" s="95">
        <f>CapEx!BO27</f>
        <v>0</v>
      </c>
      <c r="BP10" s="95">
        <f>CapEx!BP27</f>
        <v>0</v>
      </c>
      <c r="BQ10" s="95">
        <f>CapEx!BQ27</f>
        <v>0</v>
      </c>
      <c r="BR10" s="96">
        <f>CapEx!BR27</f>
        <v>0</v>
      </c>
    </row>
    <row r="11" spans="1:70" s="93" customFormat="1" x14ac:dyDescent="0.3">
      <c r="A11" s="14"/>
      <c r="B11" s="97" t="s">
        <v>51</v>
      </c>
      <c r="E11" s="96">
        <f t="shared" si="0"/>
        <v>0</v>
      </c>
      <c r="F11" s="96">
        <f t="shared" si="1"/>
        <v>0</v>
      </c>
      <c r="G11" s="96">
        <f t="shared" si="2"/>
        <v>0</v>
      </c>
      <c r="H11" s="96">
        <f t="shared" si="3"/>
        <v>0</v>
      </c>
      <c r="I11" s="96">
        <f t="shared" si="4"/>
        <v>0</v>
      </c>
      <c r="K11" s="95">
        <f>CapEx!K28</f>
        <v>40</v>
      </c>
      <c r="L11" s="95">
        <f>CapEx!L28</f>
        <v>40</v>
      </c>
      <c r="M11" s="95">
        <f>CapEx!M28</f>
        <v>40</v>
      </c>
      <c r="N11" s="95">
        <f>CapEx!N28</f>
        <v>40</v>
      </c>
      <c r="O11" s="95">
        <f>CapEx!O28</f>
        <v>40</v>
      </c>
      <c r="P11" s="95">
        <f>CapEx!P28</f>
        <v>40</v>
      </c>
      <c r="Q11" s="95">
        <f>CapEx!Q28</f>
        <v>40</v>
      </c>
      <c r="R11" s="95">
        <f>CapEx!R28</f>
        <v>40</v>
      </c>
      <c r="S11" s="95">
        <f>CapEx!S28</f>
        <v>40</v>
      </c>
      <c r="T11" s="95">
        <f>CapEx!T28</f>
        <v>40</v>
      </c>
      <c r="U11" s="95">
        <f>CapEx!U28</f>
        <v>0</v>
      </c>
      <c r="V11" s="96">
        <f>CapEx!V28</f>
        <v>0</v>
      </c>
      <c r="W11" s="94">
        <f>CapEx!W28</f>
        <v>0</v>
      </c>
      <c r="X11" s="95">
        <f>CapEx!X28</f>
        <v>0</v>
      </c>
      <c r="Y11" s="95">
        <f>CapEx!Y28</f>
        <v>0</v>
      </c>
      <c r="Z11" s="95">
        <f>CapEx!Z28</f>
        <v>0</v>
      </c>
      <c r="AA11" s="95">
        <f>CapEx!AA28</f>
        <v>0</v>
      </c>
      <c r="AB11" s="95">
        <f>CapEx!AB28</f>
        <v>0</v>
      </c>
      <c r="AC11" s="95">
        <f>CapEx!AC28</f>
        <v>0</v>
      </c>
      <c r="AD11" s="95">
        <f>CapEx!AD28</f>
        <v>0</v>
      </c>
      <c r="AE11" s="95">
        <f>CapEx!AE28</f>
        <v>0</v>
      </c>
      <c r="AF11" s="95">
        <f>CapEx!AF28</f>
        <v>0</v>
      </c>
      <c r="AG11" s="95">
        <f>CapEx!AG28</f>
        <v>0</v>
      </c>
      <c r="AH11" s="96">
        <f>CapEx!AH28</f>
        <v>0</v>
      </c>
      <c r="AI11" s="94">
        <f>CapEx!AI28</f>
        <v>0</v>
      </c>
      <c r="AJ11" s="95">
        <f>CapEx!AJ28</f>
        <v>0</v>
      </c>
      <c r="AK11" s="95">
        <f>CapEx!AK28</f>
        <v>0</v>
      </c>
      <c r="AL11" s="95">
        <f>CapEx!AL28</f>
        <v>0</v>
      </c>
      <c r="AM11" s="95">
        <f>CapEx!AM28</f>
        <v>0</v>
      </c>
      <c r="AN11" s="95">
        <f>CapEx!AN28</f>
        <v>0</v>
      </c>
      <c r="AO11" s="95">
        <f>CapEx!AO28</f>
        <v>0</v>
      </c>
      <c r="AP11" s="95">
        <f>CapEx!AP28</f>
        <v>0</v>
      </c>
      <c r="AQ11" s="95">
        <f>CapEx!AQ28</f>
        <v>0</v>
      </c>
      <c r="AR11" s="95">
        <f>CapEx!AR28</f>
        <v>0</v>
      </c>
      <c r="AS11" s="95">
        <f>CapEx!AS28</f>
        <v>0</v>
      </c>
      <c r="AT11" s="96">
        <f>CapEx!AT28</f>
        <v>0</v>
      </c>
      <c r="AU11" s="94">
        <f>CapEx!AU28</f>
        <v>0</v>
      </c>
      <c r="AV11" s="95">
        <f>CapEx!AV28</f>
        <v>0</v>
      </c>
      <c r="AW11" s="95">
        <f>CapEx!AW28</f>
        <v>0</v>
      </c>
      <c r="AX11" s="95">
        <f>CapEx!AX28</f>
        <v>0</v>
      </c>
      <c r="AY11" s="95">
        <f>CapEx!AY28</f>
        <v>0</v>
      </c>
      <c r="AZ11" s="95">
        <f>CapEx!AZ28</f>
        <v>0</v>
      </c>
      <c r="BA11" s="95">
        <f>CapEx!BA28</f>
        <v>0</v>
      </c>
      <c r="BB11" s="95">
        <f>CapEx!BB28</f>
        <v>0</v>
      </c>
      <c r="BC11" s="95">
        <f>CapEx!BC28</f>
        <v>0</v>
      </c>
      <c r="BD11" s="95">
        <f>CapEx!BD28</f>
        <v>0</v>
      </c>
      <c r="BE11" s="95">
        <f>CapEx!BE28</f>
        <v>0</v>
      </c>
      <c r="BF11" s="96">
        <f>CapEx!BF28</f>
        <v>0</v>
      </c>
      <c r="BG11" s="94">
        <f>CapEx!BG28</f>
        <v>0</v>
      </c>
      <c r="BH11" s="95">
        <f>CapEx!BH28</f>
        <v>0</v>
      </c>
      <c r="BI11" s="95">
        <f>CapEx!BI28</f>
        <v>0</v>
      </c>
      <c r="BJ11" s="95">
        <f>CapEx!BJ28</f>
        <v>0</v>
      </c>
      <c r="BK11" s="95">
        <f>CapEx!BK28</f>
        <v>0</v>
      </c>
      <c r="BL11" s="95">
        <f>CapEx!BL28</f>
        <v>0</v>
      </c>
      <c r="BM11" s="95">
        <f>CapEx!BM28</f>
        <v>0</v>
      </c>
      <c r="BN11" s="95">
        <f>CapEx!BN28</f>
        <v>0</v>
      </c>
      <c r="BO11" s="95">
        <f>CapEx!BO28</f>
        <v>0</v>
      </c>
      <c r="BP11" s="95">
        <f>CapEx!BP28</f>
        <v>0</v>
      </c>
      <c r="BQ11" s="95">
        <f>CapEx!BQ28</f>
        <v>0</v>
      </c>
      <c r="BR11" s="96">
        <f>CapEx!BR28</f>
        <v>0</v>
      </c>
    </row>
    <row r="12" spans="1:70" s="93" customFormat="1" x14ac:dyDescent="0.3">
      <c r="A12" s="14"/>
      <c r="B12" s="97" t="s">
        <v>56</v>
      </c>
      <c r="E12" s="96">
        <f t="shared" si="0"/>
        <v>0</v>
      </c>
      <c r="F12" s="96">
        <f t="shared" si="1"/>
        <v>0</v>
      </c>
      <c r="G12" s="96">
        <f t="shared" si="2"/>
        <v>0</v>
      </c>
      <c r="H12" s="96">
        <f t="shared" si="3"/>
        <v>0</v>
      </c>
      <c r="I12" s="96">
        <f t="shared" si="4"/>
        <v>0</v>
      </c>
      <c r="K12" s="95">
        <f>CapEx!K29</f>
        <v>0</v>
      </c>
      <c r="L12" s="95">
        <f>CapEx!L29</f>
        <v>0</v>
      </c>
      <c r="M12" s="95">
        <f>CapEx!M29</f>
        <v>0</v>
      </c>
      <c r="N12" s="95">
        <f>CapEx!N29</f>
        <v>0</v>
      </c>
      <c r="O12" s="95">
        <f>CapEx!O29</f>
        <v>0</v>
      </c>
      <c r="P12" s="95">
        <f>CapEx!P29</f>
        <v>0</v>
      </c>
      <c r="Q12" s="95">
        <f>CapEx!Q29</f>
        <v>0</v>
      </c>
      <c r="R12" s="95">
        <f>CapEx!R29</f>
        <v>50</v>
      </c>
      <c r="S12" s="95">
        <f>CapEx!S29</f>
        <v>50</v>
      </c>
      <c r="T12" s="95">
        <f>CapEx!T29</f>
        <v>50</v>
      </c>
      <c r="U12" s="95">
        <f>CapEx!U29</f>
        <v>0</v>
      </c>
      <c r="V12" s="96">
        <f>CapEx!V29</f>
        <v>0</v>
      </c>
      <c r="W12" s="94">
        <f>CapEx!W29</f>
        <v>0</v>
      </c>
      <c r="X12" s="95">
        <f>CapEx!X29</f>
        <v>0</v>
      </c>
      <c r="Y12" s="95">
        <f>CapEx!Y29</f>
        <v>0</v>
      </c>
      <c r="Z12" s="95">
        <f>CapEx!Z29</f>
        <v>0</v>
      </c>
      <c r="AA12" s="95">
        <f>CapEx!AA29</f>
        <v>0</v>
      </c>
      <c r="AB12" s="95">
        <f>CapEx!AB29</f>
        <v>0</v>
      </c>
      <c r="AC12" s="95">
        <f>CapEx!AC29</f>
        <v>0</v>
      </c>
      <c r="AD12" s="95">
        <f>CapEx!AD29</f>
        <v>0</v>
      </c>
      <c r="AE12" s="95">
        <f>CapEx!AE29</f>
        <v>0</v>
      </c>
      <c r="AF12" s="95">
        <f>CapEx!AF29</f>
        <v>0</v>
      </c>
      <c r="AG12" s="95">
        <f>CapEx!AG29</f>
        <v>0</v>
      </c>
      <c r="AH12" s="96">
        <f>CapEx!AH29</f>
        <v>0</v>
      </c>
      <c r="AI12" s="94">
        <f>CapEx!AI29</f>
        <v>0</v>
      </c>
      <c r="AJ12" s="95">
        <f>CapEx!AJ29</f>
        <v>0</v>
      </c>
      <c r="AK12" s="95">
        <f>CapEx!AK29</f>
        <v>0</v>
      </c>
      <c r="AL12" s="95">
        <f>CapEx!AL29</f>
        <v>0</v>
      </c>
      <c r="AM12" s="95">
        <f>CapEx!AM29</f>
        <v>0</v>
      </c>
      <c r="AN12" s="95">
        <f>CapEx!AN29</f>
        <v>0</v>
      </c>
      <c r="AO12" s="95">
        <f>CapEx!AO29</f>
        <v>0</v>
      </c>
      <c r="AP12" s="95">
        <f>CapEx!AP29</f>
        <v>0</v>
      </c>
      <c r="AQ12" s="95">
        <f>CapEx!AQ29</f>
        <v>0</v>
      </c>
      <c r="AR12" s="95">
        <f>CapEx!AR29</f>
        <v>0</v>
      </c>
      <c r="AS12" s="95">
        <f>CapEx!AS29</f>
        <v>0</v>
      </c>
      <c r="AT12" s="96">
        <f>CapEx!AT29</f>
        <v>0</v>
      </c>
      <c r="AU12" s="94">
        <f>CapEx!AU29</f>
        <v>0</v>
      </c>
      <c r="AV12" s="95">
        <f>CapEx!AV29</f>
        <v>0</v>
      </c>
      <c r="AW12" s="95">
        <f>CapEx!AW29</f>
        <v>0</v>
      </c>
      <c r="AX12" s="95">
        <f>CapEx!AX29</f>
        <v>0</v>
      </c>
      <c r="AY12" s="95">
        <f>CapEx!AY29</f>
        <v>0</v>
      </c>
      <c r="AZ12" s="95">
        <f>CapEx!AZ29</f>
        <v>0</v>
      </c>
      <c r="BA12" s="95">
        <f>CapEx!BA29</f>
        <v>0</v>
      </c>
      <c r="BB12" s="95">
        <f>CapEx!BB29</f>
        <v>0</v>
      </c>
      <c r="BC12" s="95">
        <f>CapEx!BC29</f>
        <v>0</v>
      </c>
      <c r="BD12" s="95">
        <f>CapEx!BD29</f>
        <v>0</v>
      </c>
      <c r="BE12" s="95">
        <f>CapEx!BE29</f>
        <v>0</v>
      </c>
      <c r="BF12" s="96">
        <f>CapEx!BF29</f>
        <v>0</v>
      </c>
      <c r="BG12" s="94">
        <f>CapEx!BG29</f>
        <v>0</v>
      </c>
      <c r="BH12" s="95">
        <f>CapEx!BH29</f>
        <v>0</v>
      </c>
      <c r="BI12" s="95">
        <f>CapEx!BI29</f>
        <v>0</v>
      </c>
      <c r="BJ12" s="95">
        <f>CapEx!BJ29</f>
        <v>0</v>
      </c>
      <c r="BK12" s="95">
        <f>CapEx!BK29</f>
        <v>0</v>
      </c>
      <c r="BL12" s="95">
        <f>CapEx!BL29</f>
        <v>0</v>
      </c>
      <c r="BM12" s="95">
        <f>CapEx!BM29</f>
        <v>0</v>
      </c>
      <c r="BN12" s="95">
        <f>CapEx!BN29</f>
        <v>0</v>
      </c>
      <c r="BO12" s="95">
        <f>CapEx!BO29</f>
        <v>0</v>
      </c>
      <c r="BP12" s="95">
        <f>CapEx!BP29</f>
        <v>0</v>
      </c>
      <c r="BQ12" s="95">
        <f>CapEx!BQ29</f>
        <v>0</v>
      </c>
      <c r="BR12" s="96">
        <f>CapEx!BR29</f>
        <v>0</v>
      </c>
    </row>
    <row r="13" spans="1:70" s="93" customFormat="1" x14ac:dyDescent="0.3">
      <c r="A13" s="14"/>
      <c r="B13" s="97" t="s">
        <v>60</v>
      </c>
      <c r="E13" s="96">
        <f t="shared" si="0"/>
        <v>100</v>
      </c>
      <c r="F13" s="96">
        <f t="shared" si="1"/>
        <v>0</v>
      </c>
      <c r="G13" s="96">
        <f t="shared" si="2"/>
        <v>0</v>
      </c>
      <c r="H13" s="96">
        <f t="shared" si="3"/>
        <v>0</v>
      </c>
      <c r="I13" s="96">
        <f t="shared" si="4"/>
        <v>0</v>
      </c>
      <c r="K13" s="95">
        <f>CapEx!K30</f>
        <v>0</v>
      </c>
      <c r="L13" s="95">
        <f>CapEx!L30</f>
        <v>0</v>
      </c>
      <c r="M13" s="95">
        <f>CapEx!M30</f>
        <v>0</v>
      </c>
      <c r="N13" s="95">
        <f>CapEx!N30</f>
        <v>0</v>
      </c>
      <c r="O13" s="95">
        <f>CapEx!O30</f>
        <v>0</v>
      </c>
      <c r="P13" s="95">
        <f>CapEx!P30</f>
        <v>100</v>
      </c>
      <c r="Q13" s="95">
        <f>CapEx!Q30</f>
        <v>100</v>
      </c>
      <c r="R13" s="95">
        <f>CapEx!R30</f>
        <v>100</v>
      </c>
      <c r="S13" s="95">
        <f>CapEx!S30</f>
        <v>100</v>
      </c>
      <c r="T13" s="95">
        <f>CapEx!T30</f>
        <v>100</v>
      </c>
      <c r="U13" s="95">
        <f>CapEx!U30</f>
        <v>100</v>
      </c>
      <c r="V13" s="96">
        <f>CapEx!V30</f>
        <v>100</v>
      </c>
      <c r="W13" s="94">
        <f>CapEx!W30</f>
        <v>0</v>
      </c>
      <c r="X13" s="95">
        <f>CapEx!X30</f>
        <v>0</v>
      </c>
      <c r="Y13" s="95">
        <f>CapEx!Y30</f>
        <v>0</v>
      </c>
      <c r="Z13" s="95">
        <f>CapEx!Z30</f>
        <v>0</v>
      </c>
      <c r="AA13" s="95">
        <f>CapEx!AA30</f>
        <v>0</v>
      </c>
      <c r="AB13" s="95">
        <f>CapEx!AB30</f>
        <v>0</v>
      </c>
      <c r="AC13" s="95">
        <f>CapEx!AC30</f>
        <v>0</v>
      </c>
      <c r="AD13" s="95">
        <f>CapEx!AD30</f>
        <v>0</v>
      </c>
      <c r="AE13" s="95">
        <f>CapEx!AE30</f>
        <v>0</v>
      </c>
      <c r="AF13" s="95">
        <f>CapEx!AF30</f>
        <v>0</v>
      </c>
      <c r="AG13" s="95">
        <f>CapEx!AG30</f>
        <v>0</v>
      </c>
      <c r="AH13" s="96">
        <f>CapEx!AH30</f>
        <v>0</v>
      </c>
      <c r="AI13" s="94">
        <f>CapEx!AI30</f>
        <v>0</v>
      </c>
      <c r="AJ13" s="95">
        <f>CapEx!AJ30</f>
        <v>0</v>
      </c>
      <c r="AK13" s="95">
        <f>CapEx!AK30</f>
        <v>0</v>
      </c>
      <c r="AL13" s="95">
        <f>CapEx!AL30</f>
        <v>0</v>
      </c>
      <c r="AM13" s="95">
        <f>CapEx!AM30</f>
        <v>0</v>
      </c>
      <c r="AN13" s="95">
        <f>CapEx!AN30</f>
        <v>0</v>
      </c>
      <c r="AO13" s="95">
        <f>CapEx!AO30</f>
        <v>0</v>
      </c>
      <c r="AP13" s="95">
        <f>CapEx!AP30</f>
        <v>0</v>
      </c>
      <c r="AQ13" s="95">
        <f>CapEx!AQ30</f>
        <v>0</v>
      </c>
      <c r="AR13" s="95">
        <f>CapEx!AR30</f>
        <v>0</v>
      </c>
      <c r="AS13" s="95">
        <f>CapEx!AS30</f>
        <v>0</v>
      </c>
      <c r="AT13" s="96">
        <f>CapEx!AT30</f>
        <v>0</v>
      </c>
      <c r="AU13" s="94">
        <f>CapEx!AU30</f>
        <v>0</v>
      </c>
      <c r="AV13" s="95">
        <f>CapEx!AV30</f>
        <v>0</v>
      </c>
      <c r="AW13" s="95">
        <f>CapEx!AW30</f>
        <v>0</v>
      </c>
      <c r="AX13" s="95">
        <f>CapEx!AX30</f>
        <v>0</v>
      </c>
      <c r="AY13" s="95">
        <f>CapEx!AY30</f>
        <v>0</v>
      </c>
      <c r="AZ13" s="95">
        <f>CapEx!AZ30</f>
        <v>0</v>
      </c>
      <c r="BA13" s="95">
        <f>CapEx!BA30</f>
        <v>0</v>
      </c>
      <c r="BB13" s="95">
        <f>CapEx!BB30</f>
        <v>0</v>
      </c>
      <c r="BC13" s="95">
        <f>CapEx!BC30</f>
        <v>0</v>
      </c>
      <c r="BD13" s="95">
        <f>CapEx!BD30</f>
        <v>0</v>
      </c>
      <c r="BE13" s="95">
        <f>CapEx!BE30</f>
        <v>0</v>
      </c>
      <c r="BF13" s="96">
        <f>CapEx!BF30</f>
        <v>0</v>
      </c>
      <c r="BG13" s="94">
        <f>CapEx!BG30</f>
        <v>0</v>
      </c>
      <c r="BH13" s="95">
        <f>CapEx!BH30</f>
        <v>0</v>
      </c>
      <c r="BI13" s="95">
        <f>CapEx!BI30</f>
        <v>0</v>
      </c>
      <c r="BJ13" s="95">
        <f>CapEx!BJ30</f>
        <v>0</v>
      </c>
      <c r="BK13" s="95">
        <f>CapEx!BK30</f>
        <v>0</v>
      </c>
      <c r="BL13" s="95">
        <f>CapEx!BL30</f>
        <v>0</v>
      </c>
      <c r="BM13" s="95">
        <f>CapEx!BM30</f>
        <v>0</v>
      </c>
      <c r="BN13" s="95">
        <f>CapEx!BN30</f>
        <v>0</v>
      </c>
      <c r="BO13" s="95">
        <f>CapEx!BO30</f>
        <v>0</v>
      </c>
      <c r="BP13" s="95">
        <f>CapEx!BP30</f>
        <v>0</v>
      </c>
      <c r="BQ13" s="95">
        <f>CapEx!BQ30</f>
        <v>0</v>
      </c>
      <c r="BR13" s="96">
        <f>CapEx!BR30</f>
        <v>0</v>
      </c>
    </row>
    <row r="14" spans="1:70" s="93" customFormat="1" x14ac:dyDescent="0.3">
      <c r="A14" s="14"/>
      <c r="B14" s="97" t="s">
        <v>65</v>
      </c>
      <c r="E14" s="96">
        <f t="shared" si="0"/>
        <v>0</v>
      </c>
      <c r="F14" s="96">
        <f t="shared" si="1"/>
        <v>0</v>
      </c>
      <c r="G14" s="96">
        <f t="shared" si="2"/>
        <v>0</v>
      </c>
      <c r="H14" s="96">
        <f t="shared" si="3"/>
        <v>0</v>
      </c>
      <c r="I14" s="96">
        <f t="shared" si="4"/>
        <v>0</v>
      </c>
      <c r="K14" s="95">
        <f>CapEx!K31</f>
        <v>0</v>
      </c>
      <c r="L14" s="95">
        <f>CapEx!L31</f>
        <v>0</v>
      </c>
      <c r="M14" s="95">
        <f>CapEx!M31</f>
        <v>0</v>
      </c>
      <c r="N14" s="95">
        <f>CapEx!N31</f>
        <v>0</v>
      </c>
      <c r="O14" s="95">
        <f>CapEx!O31</f>
        <v>0</v>
      </c>
      <c r="P14" s="95">
        <f>CapEx!P31</f>
        <v>0</v>
      </c>
      <c r="Q14" s="95">
        <f>CapEx!Q31</f>
        <v>0</v>
      </c>
      <c r="R14" s="95">
        <f>CapEx!R31</f>
        <v>0</v>
      </c>
      <c r="S14" s="95">
        <f>CapEx!S31</f>
        <v>0</v>
      </c>
      <c r="T14" s="95">
        <f>CapEx!T31</f>
        <v>0</v>
      </c>
      <c r="U14" s="95">
        <f>CapEx!U31</f>
        <v>0</v>
      </c>
      <c r="V14" s="96">
        <f>CapEx!V31</f>
        <v>0</v>
      </c>
      <c r="W14" s="94">
        <f>CapEx!W31</f>
        <v>0</v>
      </c>
      <c r="X14" s="95">
        <f>CapEx!X31</f>
        <v>0</v>
      </c>
      <c r="Y14" s="95">
        <f>CapEx!Y31</f>
        <v>0</v>
      </c>
      <c r="Z14" s="95">
        <f>CapEx!Z31</f>
        <v>0</v>
      </c>
      <c r="AA14" s="95">
        <f>CapEx!AA31</f>
        <v>0</v>
      </c>
      <c r="AB14" s="95">
        <f>CapEx!AB31</f>
        <v>0</v>
      </c>
      <c r="AC14" s="95">
        <f>CapEx!AC31</f>
        <v>0</v>
      </c>
      <c r="AD14" s="95">
        <f>CapEx!AD31</f>
        <v>0</v>
      </c>
      <c r="AE14" s="95">
        <f>CapEx!AE31</f>
        <v>0</v>
      </c>
      <c r="AF14" s="95">
        <f>CapEx!AF31</f>
        <v>0</v>
      </c>
      <c r="AG14" s="95">
        <f>CapEx!AG31</f>
        <v>0</v>
      </c>
      <c r="AH14" s="96">
        <f>CapEx!AH31</f>
        <v>0</v>
      </c>
      <c r="AI14" s="94">
        <f>CapEx!AI31</f>
        <v>0</v>
      </c>
      <c r="AJ14" s="95">
        <f>CapEx!AJ31</f>
        <v>0</v>
      </c>
      <c r="AK14" s="95">
        <f>CapEx!AK31</f>
        <v>0</v>
      </c>
      <c r="AL14" s="95">
        <f>CapEx!AL31</f>
        <v>0</v>
      </c>
      <c r="AM14" s="95">
        <f>CapEx!AM31</f>
        <v>0</v>
      </c>
      <c r="AN14" s="95">
        <f>CapEx!AN31</f>
        <v>0</v>
      </c>
      <c r="AO14" s="95">
        <f>CapEx!AO31</f>
        <v>0</v>
      </c>
      <c r="AP14" s="95">
        <f>CapEx!AP31</f>
        <v>0</v>
      </c>
      <c r="AQ14" s="95">
        <f>CapEx!AQ31</f>
        <v>0</v>
      </c>
      <c r="AR14" s="95">
        <f>CapEx!AR31</f>
        <v>0</v>
      </c>
      <c r="AS14" s="95">
        <f>CapEx!AS31</f>
        <v>0</v>
      </c>
      <c r="AT14" s="96">
        <f>CapEx!AT31</f>
        <v>0</v>
      </c>
      <c r="AU14" s="94">
        <f>CapEx!AU31</f>
        <v>0</v>
      </c>
      <c r="AV14" s="95">
        <f>CapEx!AV31</f>
        <v>0</v>
      </c>
      <c r="AW14" s="95">
        <f>CapEx!AW31</f>
        <v>0</v>
      </c>
      <c r="AX14" s="95">
        <f>CapEx!AX31</f>
        <v>0</v>
      </c>
      <c r="AY14" s="95">
        <f>CapEx!AY31</f>
        <v>0</v>
      </c>
      <c r="AZ14" s="95">
        <f>CapEx!AZ31</f>
        <v>0</v>
      </c>
      <c r="BA14" s="95">
        <f>CapEx!BA31</f>
        <v>0</v>
      </c>
      <c r="BB14" s="95">
        <f>CapEx!BB31</f>
        <v>0</v>
      </c>
      <c r="BC14" s="95">
        <f>CapEx!BC31</f>
        <v>0</v>
      </c>
      <c r="BD14" s="95">
        <f>CapEx!BD31</f>
        <v>0</v>
      </c>
      <c r="BE14" s="95">
        <f>CapEx!BE31</f>
        <v>0</v>
      </c>
      <c r="BF14" s="96">
        <f>CapEx!BF31</f>
        <v>0</v>
      </c>
      <c r="BG14" s="94">
        <f>CapEx!BG31</f>
        <v>0</v>
      </c>
      <c r="BH14" s="95">
        <f>CapEx!BH31</f>
        <v>0</v>
      </c>
      <c r="BI14" s="95">
        <f>CapEx!BI31</f>
        <v>0</v>
      </c>
      <c r="BJ14" s="95">
        <f>CapEx!BJ31</f>
        <v>0</v>
      </c>
      <c r="BK14" s="95">
        <f>CapEx!BK31</f>
        <v>0</v>
      </c>
      <c r="BL14" s="95">
        <f>CapEx!BL31</f>
        <v>0</v>
      </c>
      <c r="BM14" s="95">
        <f>CapEx!BM31</f>
        <v>0</v>
      </c>
      <c r="BN14" s="95">
        <f>CapEx!BN31</f>
        <v>0</v>
      </c>
      <c r="BO14" s="95">
        <f>CapEx!BO31</f>
        <v>0</v>
      </c>
      <c r="BP14" s="95">
        <f>CapEx!BP31</f>
        <v>0</v>
      </c>
      <c r="BQ14" s="95">
        <f>CapEx!BQ31</f>
        <v>0</v>
      </c>
      <c r="BR14" s="96">
        <f>CapEx!BR31</f>
        <v>0</v>
      </c>
    </row>
    <row r="15" spans="1:70" s="105" customFormat="1" x14ac:dyDescent="0.3">
      <c r="A15" s="6"/>
      <c r="B15" s="138" t="s">
        <v>123</v>
      </c>
      <c r="C15" s="94"/>
      <c r="D15" s="94"/>
      <c r="E15" s="122">
        <f t="shared" si="0"/>
        <v>0</v>
      </c>
      <c r="F15" s="122">
        <f t="shared" si="1"/>
        <v>0</v>
      </c>
      <c r="G15" s="122">
        <f t="shared" si="2"/>
        <v>0</v>
      </c>
      <c r="H15" s="122">
        <f t="shared" si="3"/>
        <v>0</v>
      </c>
      <c r="I15" s="122">
        <f t="shared" si="4"/>
        <v>0</v>
      </c>
      <c r="J15" s="94"/>
      <c r="K15" s="123">
        <f>CapEx!K32</f>
        <v>0</v>
      </c>
      <c r="L15" s="123">
        <f>CapEx!L32</f>
        <v>0</v>
      </c>
      <c r="M15" s="123">
        <f>CapEx!M32</f>
        <v>0</v>
      </c>
      <c r="N15" s="123">
        <f>CapEx!N32</f>
        <v>0</v>
      </c>
      <c r="O15" s="123">
        <f>CapEx!O32</f>
        <v>0</v>
      </c>
      <c r="P15" s="123">
        <f>CapEx!P32</f>
        <v>0</v>
      </c>
      <c r="Q15" s="123">
        <f>CapEx!Q32</f>
        <v>0</v>
      </c>
      <c r="R15" s="123">
        <f>CapEx!R32</f>
        <v>0</v>
      </c>
      <c r="S15" s="123">
        <f>CapEx!S32</f>
        <v>0</v>
      </c>
      <c r="T15" s="123">
        <f>CapEx!T32</f>
        <v>0</v>
      </c>
      <c r="U15" s="123">
        <f>CapEx!U32</f>
        <v>0</v>
      </c>
      <c r="V15" s="122">
        <f>CapEx!V32</f>
        <v>0</v>
      </c>
      <c r="W15" s="123">
        <f>CapEx!W32</f>
        <v>0</v>
      </c>
      <c r="X15" s="123">
        <f>CapEx!X32</f>
        <v>0</v>
      </c>
      <c r="Y15" s="123">
        <f>CapEx!Y32</f>
        <v>0</v>
      </c>
      <c r="Z15" s="123">
        <f>CapEx!Z32</f>
        <v>0</v>
      </c>
      <c r="AA15" s="123">
        <f>CapEx!AA32</f>
        <v>0</v>
      </c>
      <c r="AB15" s="123">
        <f>CapEx!AB32</f>
        <v>10</v>
      </c>
      <c r="AC15" s="123">
        <f>CapEx!AC32</f>
        <v>10</v>
      </c>
      <c r="AD15" s="123">
        <f>CapEx!AD32</f>
        <v>10</v>
      </c>
      <c r="AE15" s="123">
        <f>CapEx!AE32</f>
        <v>0</v>
      </c>
      <c r="AF15" s="123">
        <f>CapEx!AF32</f>
        <v>0</v>
      </c>
      <c r="AG15" s="123">
        <f>CapEx!AG32</f>
        <v>0</v>
      </c>
      <c r="AH15" s="122">
        <f>CapEx!AH32</f>
        <v>0</v>
      </c>
      <c r="AI15" s="123">
        <f>CapEx!AI32</f>
        <v>0</v>
      </c>
      <c r="AJ15" s="123">
        <f>CapEx!AJ32</f>
        <v>0</v>
      </c>
      <c r="AK15" s="123">
        <f>CapEx!AK32</f>
        <v>0</v>
      </c>
      <c r="AL15" s="123">
        <f>CapEx!AL32</f>
        <v>0</v>
      </c>
      <c r="AM15" s="123">
        <f>CapEx!AM32</f>
        <v>0</v>
      </c>
      <c r="AN15" s="123">
        <f>CapEx!AN32</f>
        <v>0</v>
      </c>
      <c r="AO15" s="123">
        <f>CapEx!AO32</f>
        <v>0</v>
      </c>
      <c r="AP15" s="123">
        <f>CapEx!AP32</f>
        <v>0</v>
      </c>
      <c r="AQ15" s="123">
        <f>CapEx!AQ32</f>
        <v>0</v>
      </c>
      <c r="AR15" s="123">
        <f>CapEx!AR32</f>
        <v>0</v>
      </c>
      <c r="AS15" s="123">
        <f>CapEx!AS32</f>
        <v>0</v>
      </c>
      <c r="AT15" s="122">
        <f>CapEx!AT32</f>
        <v>0</v>
      </c>
      <c r="AU15" s="123">
        <f>CapEx!AU32</f>
        <v>0</v>
      </c>
      <c r="AV15" s="123">
        <f>CapEx!AV32</f>
        <v>0</v>
      </c>
      <c r="AW15" s="123">
        <f>CapEx!AW32</f>
        <v>0</v>
      </c>
      <c r="AX15" s="123">
        <f>CapEx!AX32</f>
        <v>0</v>
      </c>
      <c r="AY15" s="123">
        <f>CapEx!AY32</f>
        <v>0</v>
      </c>
      <c r="AZ15" s="123">
        <f>CapEx!AZ32</f>
        <v>0</v>
      </c>
      <c r="BA15" s="123">
        <f>CapEx!BA32</f>
        <v>0</v>
      </c>
      <c r="BB15" s="123">
        <f>CapEx!BB32</f>
        <v>0</v>
      </c>
      <c r="BC15" s="123">
        <f>CapEx!BC32</f>
        <v>0</v>
      </c>
      <c r="BD15" s="123">
        <f>CapEx!BD32</f>
        <v>0</v>
      </c>
      <c r="BE15" s="123">
        <f>CapEx!BE32</f>
        <v>0</v>
      </c>
      <c r="BF15" s="122">
        <f>CapEx!BF32</f>
        <v>0</v>
      </c>
      <c r="BG15" s="123">
        <f>CapEx!BG32</f>
        <v>0</v>
      </c>
      <c r="BH15" s="123">
        <f>CapEx!BH32</f>
        <v>0</v>
      </c>
      <c r="BI15" s="123">
        <f>CapEx!BI32</f>
        <v>0</v>
      </c>
      <c r="BJ15" s="123">
        <f>CapEx!BJ32</f>
        <v>0</v>
      </c>
      <c r="BK15" s="123">
        <f>CapEx!BK32</f>
        <v>0</v>
      </c>
      <c r="BL15" s="123">
        <f>CapEx!BL32</f>
        <v>0</v>
      </c>
      <c r="BM15" s="123">
        <f>CapEx!BM32</f>
        <v>0</v>
      </c>
      <c r="BN15" s="123">
        <f>CapEx!BN32</f>
        <v>0</v>
      </c>
      <c r="BO15" s="123">
        <f>CapEx!BO32</f>
        <v>0</v>
      </c>
      <c r="BP15" s="123">
        <f>CapEx!BP32</f>
        <v>0</v>
      </c>
      <c r="BQ15" s="123">
        <f>CapEx!BQ32</f>
        <v>0</v>
      </c>
      <c r="BR15" s="122">
        <f>CapEx!BR32</f>
        <v>0</v>
      </c>
    </row>
    <row r="16" spans="1:70" s="105" customFormat="1" x14ac:dyDescent="0.3">
      <c r="A16" s="14"/>
      <c r="B16" s="259" t="s">
        <v>193</v>
      </c>
      <c r="E16" s="94">
        <f t="shared" si="0"/>
        <v>350</v>
      </c>
      <c r="F16" s="94">
        <f t="shared" si="1"/>
        <v>0</v>
      </c>
      <c r="G16" s="94">
        <f t="shared" si="2"/>
        <v>0</v>
      </c>
      <c r="H16" s="94">
        <f t="shared" si="3"/>
        <v>0</v>
      </c>
      <c r="I16" s="94">
        <f t="shared" si="4"/>
        <v>0</v>
      </c>
      <c r="K16" s="93">
        <f>SUM(K10:K15)</f>
        <v>40</v>
      </c>
      <c r="L16" s="93">
        <f t="shared" ref="L16:BR16" si="7">SUM(L10:L15)</f>
        <v>40</v>
      </c>
      <c r="M16" s="93">
        <f t="shared" si="7"/>
        <v>40</v>
      </c>
      <c r="N16" s="93">
        <f t="shared" si="7"/>
        <v>290</v>
      </c>
      <c r="O16" s="93">
        <f t="shared" si="7"/>
        <v>290</v>
      </c>
      <c r="P16" s="93">
        <f t="shared" si="7"/>
        <v>390</v>
      </c>
      <c r="Q16" s="93">
        <f t="shared" si="7"/>
        <v>390</v>
      </c>
      <c r="R16" s="93">
        <f t="shared" si="7"/>
        <v>440</v>
      </c>
      <c r="S16" s="93">
        <f t="shared" si="7"/>
        <v>440</v>
      </c>
      <c r="T16" s="93">
        <f t="shared" si="7"/>
        <v>440</v>
      </c>
      <c r="U16" s="93">
        <f t="shared" si="7"/>
        <v>350</v>
      </c>
      <c r="V16" s="102">
        <f t="shared" si="7"/>
        <v>350</v>
      </c>
      <c r="W16" s="93">
        <f t="shared" si="7"/>
        <v>250</v>
      </c>
      <c r="X16" s="93">
        <f t="shared" si="7"/>
        <v>250</v>
      </c>
      <c r="Y16" s="93">
        <f t="shared" si="7"/>
        <v>250</v>
      </c>
      <c r="Z16" s="93">
        <f t="shared" si="7"/>
        <v>250</v>
      </c>
      <c r="AA16" s="93">
        <f t="shared" si="7"/>
        <v>250</v>
      </c>
      <c r="AB16" s="93">
        <f t="shared" si="7"/>
        <v>260</v>
      </c>
      <c r="AC16" s="93">
        <f t="shared" si="7"/>
        <v>260</v>
      </c>
      <c r="AD16" s="93">
        <f t="shared" si="7"/>
        <v>260</v>
      </c>
      <c r="AE16" s="93">
        <f t="shared" si="7"/>
        <v>0</v>
      </c>
      <c r="AF16" s="93">
        <f t="shared" si="7"/>
        <v>0</v>
      </c>
      <c r="AG16" s="93">
        <f t="shared" si="7"/>
        <v>0</v>
      </c>
      <c r="AH16" s="102">
        <f t="shared" si="7"/>
        <v>0</v>
      </c>
      <c r="AI16" s="93">
        <f t="shared" si="7"/>
        <v>0</v>
      </c>
      <c r="AJ16" s="93">
        <f t="shared" si="7"/>
        <v>0</v>
      </c>
      <c r="AK16" s="93">
        <f t="shared" si="7"/>
        <v>0</v>
      </c>
      <c r="AL16" s="93">
        <f t="shared" si="7"/>
        <v>0</v>
      </c>
      <c r="AM16" s="93">
        <f t="shared" si="7"/>
        <v>0</v>
      </c>
      <c r="AN16" s="93">
        <f t="shared" si="7"/>
        <v>0</v>
      </c>
      <c r="AO16" s="93">
        <f t="shared" si="7"/>
        <v>0</v>
      </c>
      <c r="AP16" s="93">
        <f t="shared" si="7"/>
        <v>0</v>
      </c>
      <c r="AQ16" s="93">
        <f t="shared" si="7"/>
        <v>0</v>
      </c>
      <c r="AR16" s="93">
        <f t="shared" si="7"/>
        <v>0</v>
      </c>
      <c r="AS16" s="93">
        <f t="shared" si="7"/>
        <v>0</v>
      </c>
      <c r="AT16" s="102">
        <f t="shared" si="7"/>
        <v>0</v>
      </c>
      <c r="AU16" s="93">
        <f t="shared" si="7"/>
        <v>0</v>
      </c>
      <c r="AV16" s="93">
        <f t="shared" si="7"/>
        <v>0</v>
      </c>
      <c r="AW16" s="93">
        <f t="shared" si="7"/>
        <v>0</v>
      </c>
      <c r="AX16" s="93">
        <f t="shared" si="7"/>
        <v>0</v>
      </c>
      <c r="AY16" s="93">
        <f t="shared" si="7"/>
        <v>0</v>
      </c>
      <c r="AZ16" s="93">
        <f t="shared" si="7"/>
        <v>0</v>
      </c>
      <c r="BA16" s="93">
        <f t="shared" si="7"/>
        <v>0</v>
      </c>
      <c r="BB16" s="93">
        <f t="shared" si="7"/>
        <v>0</v>
      </c>
      <c r="BC16" s="93">
        <f t="shared" si="7"/>
        <v>0</v>
      </c>
      <c r="BD16" s="93">
        <f t="shared" si="7"/>
        <v>0</v>
      </c>
      <c r="BE16" s="93">
        <f t="shared" si="7"/>
        <v>0</v>
      </c>
      <c r="BF16" s="102">
        <f t="shared" si="7"/>
        <v>0</v>
      </c>
      <c r="BG16" s="93">
        <f t="shared" si="7"/>
        <v>0</v>
      </c>
      <c r="BH16" s="93">
        <f t="shared" si="7"/>
        <v>0</v>
      </c>
      <c r="BI16" s="93">
        <f t="shared" si="7"/>
        <v>0</v>
      </c>
      <c r="BJ16" s="93">
        <f t="shared" si="7"/>
        <v>0</v>
      </c>
      <c r="BK16" s="93">
        <f t="shared" si="7"/>
        <v>0</v>
      </c>
      <c r="BL16" s="93">
        <f t="shared" si="7"/>
        <v>0</v>
      </c>
      <c r="BM16" s="93">
        <f t="shared" si="7"/>
        <v>0</v>
      </c>
      <c r="BN16" s="93">
        <f t="shared" si="7"/>
        <v>0</v>
      </c>
      <c r="BO16" s="93">
        <f t="shared" si="7"/>
        <v>0</v>
      </c>
      <c r="BP16" s="93">
        <f t="shared" si="7"/>
        <v>0</v>
      </c>
      <c r="BQ16" s="93">
        <f t="shared" si="7"/>
        <v>0</v>
      </c>
      <c r="BR16" s="102">
        <f t="shared" si="7"/>
        <v>0</v>
      </c>
    </row>
    <row r="17" spans="1:70" s="93" customFormat="1" x14ac:dyDescent="0.3">
      <c r="A17" s="14"/>
      <c r="B17" s="97" t="s">
        <v>215</v>
      </c>
      <c r="E17" s="96">
        <f t="shared" si="0"/>
        <v>-133.33333333333334</v>
      </c>
      <c r="F17" s="96">
        <f t="shared" si="1"/>
        <v>0</v>
      </c>
      <c r="G17" s="96">
        <f t="shared" si="2"/>
        <v>0</v>
      </c>
      <c r="H17" s="96">
        <f t="shared" si="3"/>
        <v>0</v>
      </c>
      <c r="I17" s="96">
        <f t="shared" si="4"/>
        <v>0</v>
      </c>
      <c r="K17" s="95">
        <f>CapEx!K26</f>
        <v>-4</v>
      </c>
      <c r="L17" s="95">
        <f>CapEx!L26</f>
        <v>-8</v>
      </c>
      <c r="M17" s="95">
        <f>CapEx!M26</f>
        <v>-12</v>
      </c>
      <c r="N17" s="95">
        <f>CapEx!N26</f>
        <v>-25.25925925925926</v>
      </c>
      <c r="O17" s="95">
        <f>CapEx!O26</f>
        <v>-38.518518518518519</v>
      </c>
      <c r="P17" s="95">
        <f>CapEx!P26</f>
        <v>-58.920634920634924</v>
      </c>
      <c r="Q17" s="95">
        <f>CapEx!Q26</f>
        <v>-79.32275132275133</v>
      </c>
      <c r="R17" s="95">
        <f>CapEx!R26</f>
        <v>-116.39153439153441</v>
      </c>
      <c r="S17" s="95">
        <f>CapEx!S26</f>
        <v>-153.46031746031747</v>
      </c>
      <c r="T17" s="95">
        <f>CapEx!T26</f>
        <v>-190.52910052910053</v>
      </c>
      <c r="U17" s="95">
        <f>CapEx!U26</f>
        <v>-116.93121693121694</v>
      </c>
      <c r="V17" s="96">
        <f>CapEx!V26</f>
        <v>-133.33333333333334</v>
      </c>
      <c r="W17" s="94">
        <f>CapEx!W26</f>
        <v>-92.592592592592595</v>
      </c>
      <c r="X17" s="95">
        <f>CapEx!X26</f>
        <v>-101.85185185185185</v>
      </c>
      <c r="Y17" s="95">
        <f>CapEx!Y26</f>
        <v>-111.11111111111111</v>
      </c>
      <c r="Z17" s="95">
        <f>CapEx!Z26</f>
        <v>-120.37037037037038</v>
      </c>
      <c r="AA17" s="95">
        <f>CapEx!AA26</f>
        <v>-129.62962962962962</v>
      </c>
      <c r="AB17" s="95">
        <f>CapEx!AB26</f>
        <v>-142.22222222222223</v>
      </c>
      <c r="AC17" s="95">
        <f>CapEx!AC26</f>
        <v>-154.81481481481481</v>
      </c>
      <c r="AD17" s="95">
        <f>CapEx!AD26</f>
        <v>-167.40740740740742</v>
      </c>
      <c r="AE17" s="95">
        <f>CapEx!AE26</f>
        <v>0</v>
      </c>
      <c r="AF17" s="95">
        <f>CapEx!AF26</f>
        <v>0</v>
      </c>
      <c r="AG17" s="95">
        <f>CapEx!AG26</f>
        <v>0</v>
      </c>
      <c r="AH17" s="96">
        <f>CapEx!AH26</f>
        <v>0</v>
      </c>
      <c r="AI17" s="94">
        <f>CapEx!AI26</f>
        <v>0</v>
      </c>
      <c r="AJ17" s="95">
        <f>CapEx!AJ26</f>
        <v>0</v>
      </c>
      <c r="AK17" s="95">
        <f>CapEx!AK26</f>
        <v>0</v>
      </c>
      <c r="AL17" s="95">
        <f>CapEx!AL26</f>
        <v>0</v>
      </c>
      <c r="AM17" s="95">
        <f>CapEx!AM26</f>
        <v>0</v>
      </c>
      <c r="AN17" s="95">
        <f>CapEx!AN26</f>
        <v>0</v>
      </c>
      <c r="AO17" s="95">
        <f>CapEx!AO26</f>
        <v>0</v>
      </c>
      <c r="AP17" s="95">
        <f>CapEx!AP26</f>
        <v>0</v>
      </c>
      <c r="AQ17" s="95">
        <f>CapEx!AQ26</f>
        <v>0</v>
      </c>
      <c r="AR17" s="95">
        <f>CapEx!AR26</f>
        <v>0</v>
      </c>
      <c r="AS17" s="95">
        <f>CapEx!AS26</f>
        <v>0</v>
      </c>
      <c r="AT17" s="96">
        <f>CapEx!AT26</f>
        <v>0</v>
      </c>
      <c r="AU17" s="94">
        <f>CapEx!AU26</f>
        <v>0</v>
      </c>
      <c r="AV17" s="95">
        <f>CapEx!AV26</f>
        <v>0</v>
      </c>
      <c r="AW17" s="95">
        <f>CapEx!AW26</f>
        <v>0</v>
      </c>
      <c r="AX17" s="95">
        <f>CapEx!AX26</f>
        <v>0</v>
      </c>
      <c r="AY17" s="95">
        <f>CapEx!AY26</f>
        <v>0</v>
      </c>
      <c r="AZ17" s="95">
        <f>CapEx!AZ26</f>
        <v>0</v>
      </c>
      <c r="BA17" s="95">
        <f>CapEx!BA26</f>
        <v>0</v>
      </c>
      <c r="BB17" s="95">
        <f>CapEx!BB26</f>
        <v>0</v>
      </c>
      <c r="BC17" s="95">
        <f>CapEx!BC26</f>
        <v>0</v>
      </c>
      <c r="BD17" s="95">
        <f>CapEx!BD26</f>
        <v>0</v>
      </c>
      <c r="BE17" s="95">
        <f>CapEx!BE26</f>
        <v>0</v>
      </c>
      <c r="BF17" s="96">
        <f>CapEx!BF26</f>
        <v>0</v>
      </c>
      <c r="BG17" s="94">
        <f>CapEx!BG26</f>
        <v>0</v>
      </c>
      <c r="BH17" s="95">
        <f>CapEx!BH26</f>
        <v>0</v>
      </c>
      <c r="BI17" s="95">
        <f>CapEx!BI26</f>
        <v>0</v>
      </c>
      <c r="BJ17" s="95">
        <f>CapEx!BJ26</f>
        <v>0</v>
      </c>
      <c r="BK17" s="95">
        <f>CapEx!BK26</f>
        <v>0</v>
      </c>
      <c r="BL17" s="95">
        <f>CapEx!BL26</f>
        <v>0</v>
      </c>
      <c r="BM17" s="95">
        <f>CapEx!BM26</f>
        <v>0</v>
      </c>
      <c r="BN17" s="95">
        <f>CapEx!BN26</f>
        <v>0</v>
      </c>
      <c r="BO17" s="95">
        <f>CapEx!BO26</f>
        <v>0</v>
      </c>
      <c r="BP17" s="95">
        <f>CapEx!BP26</f>
        <v>0</v>
      </c>
      <c r="BQ17" s="95">
        <f>CapEx!BQ26</f>
        <v>0</v>
      </c>
      <c r="BR17" s="96">
        <f>CapEx!BR26</f>
        <v>0</v>
      </c>
    </row>
    <row r="18" spans="1:70" s="105" customFormat="1" x14ac:dyDescent="0.3">
      <c r="A18" s="6"/>
      <c r="B18" s="138" t="s">
        <v>211</v>
      </c>
      <c r="C18" s="94"/>
      <c r="D18" s="94"/>
      <c r="E18" s="122">
        <f t="shared" si="0"/>
        <v>-50</v>
      </c>
      <c r="F18" s="122">
        <f t="shared" si="1"/>
        <v>0</v>
      </c>
      <c r="G18" s="122">
        <f t="shared" si="2"/>
        <v>0</v>
      </c>
      <c r="H18" s="122">
        <f t="shared" si="3"/>
        <v>0</v>
      </c>
      <c r="I18" s="122">
        <f t="shared" si="4"/>
        <v>0</v>
      </c>
      <c r="J18" s="94"/>
      <c r="K18" s="123">
        <f>CapEx!K48-CapEx!K41</f>
        <v>0</v>
      </c>
      <c r="L18" s="123">
        <f>CapEx!L48-CapEx!L41</f>
        <v>0</v>
      </c>
      <c r="M18" s="123">
        <f>CapEx!M48-CapEx!M41</f>
        <v>0</v>
      </c>
      <c r="N18" s="123">
        <f>CapEx!N48-CapEx!N41</f>
        <v>0</v>
      </c>
      <c r="O18" s="123">
        <f>CapEx!O48-CapEx!O41</f>
        <v>0</v>
      </c>
      <c r="P18" s="123">
        <f>CapEx!P48-CapEx!P41</f>
        <v>0</v>
      </c>
      <c r="Q18" s="123">
        <f>CapEx!Q48-CapEx!Q41</f>
        <v>0</v>
      </c>
      <c r="R18" s="123">
        <f>CapEx!R48-CapEx!R41</f>
        <v>0</v>
      </c>
      <c r="S18" s="123">
        <f>CapEx!S48-CapEx!S41</f>
        <v>0</v>
      </c>
      <c r="T18" s="123">
        <f>CapEx!T48-CapEx!T41</f>
        <v>0</v>
      </c>
      <c r="U18" s="123">
        <f>CapEx!U48-CapEx!U41</f>
        <v>0</v>
      </c>
      <c r="V18" s="122">
        <f>CapEx!V48-CapEx!V41</f>
        <v>-50</v>
      </c>
      <c r="W18" s="123">
        <f>CapEx!W48-CapEx!W41</f>
        <v>0</v>
      </c>
      <c r="X18" s="123">
        <f>CapEx!X48-CapEx!X41</f>
        <v>0</v>
      </c>
      <c r="Y18" s="123">
        <f>CapEx!Y48-CapEx!Y41</f>
        <v>0</v>
      </c>
      <c r="Z18" s="123">
        <f>CapEx!Z48-CapEx!Z41</f>
        <v>0</v>
      </c>
      <c r="AA18" s="123">
        <f>CapEx!AA48-CapEx!AA41</f>
        <v>0</v>
      </c>
      <c r="AB18" s="123">
        <f>CapEx!AB48-CapEx!AB41</f>
        <v>0</v>
      </c>
      <c r="AC18" s="123">
        <f>CapEx!AC48-CapEx!AC41</f>
        <v>0</v>
      </c>
      <c r="AD18" s="123">
        <f>CapEx!AD48-CapEx!AD41</f>
        <v>-92.592592592592581</v>
      </c>
      <c r="AE18" s="123">
        <f>CapEx!AE48-CapEx!AE41</f>
        <v>0</v>
      </c>
      <c r="AF18" s="123">
        <f>CapEx!AF48-CapEx!AF41</f>
        <v>0</v>
      </c>
      <c r="AG18" s="123">
        <f>CapEx!AG48-CapEx!AG41</f>
        <v>0</v>
      </c>
      <c r="AH18" s="122">
        <f>CapEx!AH48-CapEx!AH41</f>
        <v>0</v>
      </c>
      <c r="AI18" s="123">
        <f>CapEx!AI48-CapEx!AI41</f>
        <v>0</v>
      </c>
      <c r="AJ18" s="123">
        <f>CapEx!AJ48-CapEx!AJ41</f>
        <v>0</v>
      </c>
      <c r="AK18" s="123">
        <f>CapEx!AK48-CapEx!AK41</f>
        <v>0</v>
      </c>
      <c r="AL18" s="123">
        <f>CapEx!AL48-CapEx!AL41</f>
        <v>0</v>
      </c>
      <c r="AM18" s="123">
        <f>CapEx!AM48-CapEx!AM41</f>
        <v>0</v>
      </c>
      <c r="AN18" s="123">
        <f>CapEx!AN48-CapEx!AN41</f>
        <v>0</v>
      </c>
      <c r="AO18" s="123">
        <f>CapEx!AO48-CapEx!AO41</f>
        <v>0</v>
      </c>
      <c r="AP18" s="123">
        <f>CapEx!AP48-CapEx!AP41</f>
        <v>0</v>
      </c>
      <c r="AQ18" s="123">
        <f>CapEx!AQ48-CapEx!AQ41</f>
        <v>0</v>
      </c>
      <c r="AR18" s="123">
        <f>CapEx!AR48-CapEx!AR41</f>
        <v>0</v>
      </c>
      <c r="AS18" s="123">
        <f>CapEx!AS48-CapEx!AS41</f>
        <v>0</v>
      </c>
      <c r="AT18" s="122">
        <f>CapEx!AT48-CapEx!AT41</f>
        <v>0</v>
      </c>
      <c r="AU18" s="123">
        <f>CapEx!AU48-CapEx!AU41</f>
        <v>0</v>
      </c>
      <c r="AV18" s="123">
        <f>CapEx!AV48-CapEx!AV41</f>
        <v>0</v>
      </c>
      <c r="AW18" s="123">
        <f>CapEx!AW48-CapEx!AW41</f>
        <v>0</v>
      </c>
      <c r="AX18" s="123">
        <f>CapEx!AX48-CapEx!AX41</f>
        <v>0</v>
      </c>
      <c r="AY18" s="123">
        <f>CapEx!AY48-CapEx!AY41</f>
        <v>0</v>
      </c>
      <c r="AZ18" s="123">
        <f>CapEx!AZ48-CapEx!AZ41</f>
        <v>0</v>
      </c>
      <c r="BA18" s="123">
        <f>CapEx!BA48-CapEx!BA41</f>
        <v>0</v>
      </c>
      <c r="BB18" s="123">
        <f>CapEx!BB48-CapEx!BB41</f>
        <v>0</v>
      </c>
      <c r="BC18" s="123">
        <f>CapEx!BC48-CapEx!BC41</f>
        <v>0</v>
      </c>
      <c r="BD18" s="123">
        <f>CapEx!BD48-CapEx!BD41</f>
        <v>0</v>
      </c>
      <c r="BE18" s="123">
        <f>CapEx!BE48-CapEx!BE41</f>
        <v>0</v>
      </c>
      <c r="BF18" s="122">
        <f>CapEx!BF48-CapEx!BF41</f>
        <v>0</v>
      </c>
      <c r="BG18" s="123">
        <f>CapEx!BG48-CapEx!BG41</f>
        <v>0</v>
      </c>
      <c r="BH18" s="123">
        <f>CapEx!BH48-CapEx!BH41</f>
        <v>0</v>
      </c>
      <c r="BI18" s="123">
        <f>CapEx!BI48-CapEx!BI41</f>
        <v>0</v>
      </c>
      <c r="BJ18" s="123">
        <f>CapEx!BJ48-CapEx!BJ41</f>
        <v>0</v>
      </c>
      <c r="BK18" s="123">
        <f>CapEx!BK48-CapEx!BK41</f>
        <v>0</v>
      </c>
      <c r="BL18" s="123">
        <f>CapEx!BL48-CapEx!BL41</f>
        <v>0</v>
      </c>
      <c r="BM18" s="123">
        <f>CapEx!BM48-CapEx!BM41</f>
        <v>0</v>
      </c>
      <c r="BN18" s="123">
        <f>CapEx!BN48-CapEx!BN41</f>
        <v>0</v>
      </c>
      <c r="BO18" s="123">
        <f>CapEx!BO48-CapEx!BO41</f>
        <v>0</v>
      </c>
      <c r="BP18" s="123">
        <f>CapEx!BP48-CapEx!BP41</f>
        <v>0</v>
      </c>
      <c r="BQ18" s="123">
        <f>CapEx!BQ48-CapEx!BQ41</f>
        <v>0</v>
      </c>
      <c r="BR18" s="122">
        <f>CapEx!BR48-CapEx!BR41</f>
        <v>0</v>
      </c>
    </row>
    <row r="19" spans="1:70" s="93" customFormat="1" x14ac:dyDescent="0.3">
      <c r="A19" s="14"/>
      <c r="B19" s="266" t="s">
        <v>124</v>
      </c>
      <c r="E19" s="99">
        <f t="shared" si="0"/>
        <v>166.66666666666666</v>
      </c>
      <c r="F19" s="99">
        <f t="shared" si="1"/>
        <v>0</v>
      </c>
      <c r="G19" s="99">
        <f t="shared" si="2"/>
        <v>0</v>
      </c>
      <c r="H19" s="99">
        <f t="shared" si="3"/>
        <v>0</v>
      </c>
      <c r="I19" s="99">
        <f t="shared" si="4"/>
        <v>0</v>
      </c>
      <c r="K19" s="99">
        <f>SUM(K16:K17)-K18</f>
        <v>36</v>
      </c>
      <c r="L19" s="99">
        <f>SUM(L16:L17)-L18</f>
        <v>32</v>
      </c>
      <c r="M19" s="99">
        <f t="shared" ref="M19:AR19" si="8">SUM(M16:M18)</f>
        <v>28</v>
      </c>
      <c r="N19" s="99">
        <f t="shared" si="8"/>
        <v>264.74074074074076</v>
      </c>
      <c r="O19" s="99">
        <f t="shared" si="8"/>
        <v>251.48148148148147</v>
      </c>
      <c r="P19" s="99">
        <f t="shared" si="8"/>
        <v>331.07936507936506</v>
      </c>
      <c r="Q19" s="99">
        <f t="shared" si="8"/>
        <v>310.67724867724866</v>
      </c>
      <c r="R19" s="99">
        <f t="shared" si="8"/>
        <v>323.60846560846562</v>
      </c>
      <c r="S19" s="99">
        <f t="shared" si="8"/>
        <v>286.53968253968253</v>
      </c>
      <c r="T19" s="99">
        <f t="shared" si="8"/>
        <v>249.47089947089947</v>
      </c>
      <c r="U19" s="99">
        <f t="shared" si="8"/>
        <v>233.06878306878306</v>
      </c>
      <c r="V19" s="107">
        <f t="shared" si="8"/>
        <v>166.66666666666666</v>
      </c>
      <c r="W19" s="99">
        <f t="shared" si="8"/>
        <v>157.40740740740739</v>
      </c>
      <c r="X19" s="99">
        <f t="shared" si="8"/>
        <v>148.14814814814815</v>
      </c>
      <c r="Y19" s="99">
        <f t="shared" si="8"/>
        <v>138.88888888888889</v>
      </c>
      <c r="Z19" s="99">
        <f t="shared" si="8"/>
        <v>129.62962962962962</v>
      </c>
      <c r="AA19" s="99">
        <f t="shared" si="8"/>
        <v>120.37037037037038</v>
      </c>
      <c r="AB19" s="99">
        <f t="shared" si="8"/>
        <v>117.77777777777777</v>
      </c>
      <c r="AC19" s="99">
        <f t="shared" si="8"/>
        <v>105.18518518518519</v>
      </c>
      <c r="AD19" s="99">
        <f t="shared" si="8"/>
        <v>0</v>
      </c>
      <c r="AE19" s="99">
        <f t="shared" si="8"/>
        <v>0</v>
      </c>
      <c r="AF19" s="99">
        <f t="shared" si="8"/>
        <v>0</v>
      </c>
      <c r="AG19" s="99">
        <f t="shared" si="8"/>
        <v>0</v>
      </c>
      <c r="AH19" s="107">
        <f t="shared" si="8"/>
        <v>0</v>
      </c>
      <c r="AI19" s="99">
        <f t="shared" si="8"/>
        <v>0</v>
      </c>
      <c r="AJ19" s="99">
        <f t="shared" si="8"/>
        <v>0</v>
      </c>
      <c r="AK19" s="99">
        <f t="shared" si="8"/>
        <v>0</v>
      </c>
      <c r="AL19" s="99">
        <f t="shared" si="8"/>
        <v>0</v>
      </c>
      <c r="AM19" s="99">
        <f t="shared" si="8"/>
        <v>0</v>
      </c>
      <c r="AN19" s="99">
        <f t="shared" si="8"/>
        <v>0</v>
      </c>
      <c r="AO19" s="99">
        <f t="shared" si="8"/>
        <v>0</v>
      </c>
      <c r="AP19" s="99">
        <f t="shared" si="8"/>
        <v>0</v>
      </c>
      <c r="AQ19" s="99">
        <f t="shared" si="8"/>
        <v>0</v>
      </c>
      <c r="AR19" s="99">
        <f t="shared" si="8"/>
        <v>0</v>
      </c>
      <c r="AS19" s="99">
        <f t="shared" ref="AS19:BR19" si="9">SUM(AS16:AS18)</f>
        <v>0</v>
      </c>
      <c r="AT19" s="107">
        <f t="shared" si="9"/>
        <v>0</v>
      </c>
      <c r="AU19" s="99">
        <f t="shared" si="9"/>
        <v>0</v>
      </c>
      <c r="AV19" s="99">
        <f t="shared" si="9"/>
        <v>0</v>
      </c>
      <c r="AW19" s="99">
        <f t="shared" si="9"/>
        <v>0</v>
      </c>
      <c r="AX19" s="99">
        <f t="shared" si="9"/>
        <v>0</v>
      </c>
      <c r="AY19" s="99">
        <f t="shared" si="9"/>
        <v>0</v>
      </c>
      <c r="AZ19" s="99">
        <f t="shared" si="9"/>
        <v>0</v>
      </c>
      <c r="BA19" s="99">
        <f t="shared" si="9"/>
        <v>0</v>
      </c>
      <c r="BB19" s="99">
        <f t="shared" si="9"/>
        <v>0</v>
      </c>
      <c r="BC19" s="99">
        <f t="shared" si="9"/>
        <v>0</v>
      </c>
      <c r="BD19" s="99">
        <f t="shared" si="9"/>
        <v>0</v>
      </c>
      <c r="BE19" s="99">
        <f t="shared" si="9"/>
        <v>0</v>
      </c>
      <c r="BF19" s="107">
        <f t="shared" si="9"/>
        <v>0</v>
      </c>
      <c r="BG19" s="99">
        <f t="shared" si="9"/>
        <v>0</v>
      </c>
      <c r="BH19" s="99">
        <f t="shared" si="9"/>
        <v>0</v>
      </c>
      <c r="BI19" s="99">
        <f t="shared" si="9"/>
        <v>0</v>
      </c>
      <c r="BJ19" s="99">
        <f t="shared" si="9"/>
        <v>0</v>
      </c>
      <c r="BK19" s="99">
        <f t="shared" si="9"/>
        <v>0</v>
      </c>
      <c r="BL19" s="99">
        <f t="shared" si="9"/>
        <v>0</v>
      </c>
      <c r="BM19" s="99">
        <f t="shared" si="9"/>
        <v>0</v>
      </c>
      <c r="BN19" s="99">
        <f t="shared" si="9"/>
        <v>0</v>
      </c>
      <c r="BO19" s="99">
        <f t="shared" si="9"/>
        <v>0</v>
      </c>
      <c r="BP19" s="99">
        <f t="shared" si="9"/>
        <v>0</v>
      </c>
      <c r="BQ19" s="99">
        <f t="shared" si="9"/>
        <v>0</v>
      </c>
      <c r="BR19" s="107">
        <f t="shared" si="9"/>
        <v>0</v>
      </c>
    </row>
    <row r="20" spans="1:70" s="125" customFormat="1" x14ac:dyDescent="0.3">
      <c r="A20" s="14"/>
      <c r="B20" s="101" t="s">
        <v>125</v>
      </c>
      <c r="C20" s="93"/>
      <c r="D20" s="93"/>
      <c r="E20" s="102">
        <f t="shared" ca="1" si="0"/>
        <v>14825.25624384255</v>
      </c>
      <c r="F20" s="102">
        <f t="shared" ca="1" si="1"/>
        <v>16565.491898898585</v>
      </c>
      <c r="G20" s="102">
        <f t="shared" ca="1" si="2"/>
        <v>16330.83202024843</v>
      </c>
      <c r="H20" s="102">
        <f t="shared" ca="1" si="3"/>
        <v>16569.231898692666</v>
      </c>
      <c r="I20" s="102">
        <f t="shared" ca="1" si="4"/>
        <v>16555.537093485778</v>
      </c>
      <c r="J20" s="102"/>
      <c r="K20" s="93">
        <f t="shared" ref="K20:AP20" ca="1" si="10">SUM(K9,K19)</f>
        <v>2492.7112683076189</v>
      </c>
      <c r="L20" s="93">
        <f t="shared" ca="1" si="10"/>
        <v>4639.8981902083697</v>
      </c>
      <c r="M20" s="93">
        <f t="shared" ca="1" si="10"/>
        <v>6679.4062082139981</v>
      </c>
      <c r="N20" s="93">
        <f t="shared" ca="1" si="10"/>
        <v>8092.0218638192937</v>
      </c>
      <c r="O20" s="93">
        <f t="shared" ca="1" si="10"/>
        <v>9183.9969325001239</v>
      </c>
      <c r="P20" s="93">
        <f t="shared" ca="1" si="10"/>
        <v>10300.275980431976</v>
      </c>
      <c r="Q20" s="93">
        <f t="shared" ca="1" si="10"/>
        <v>11246.621753013214</v>
      </c>
      <c r="R20" s="93">
        <f t="shared" ca="1" si="10"/>
        <v>12154.964688981659</v>
      </c>
      <c r="S20" s="93">
        <f t="shared" ca="1" si="10"/>
        <v>12940.545421937255</v>
      </c>
      <c r="T20" s="93">
        <f t="shared" ca="1" si="10"/>
        <v>13649.844387909199</v>
      </c>
      <c r="U20" s="93">
        <f t="shared" ca="1" si="10"/>
        <v>14302.11510713146</v>
      </c>
      <c r="V20" s="102">
        <f t="shared" ca="1" si="10"/>
        <v>14825.25624384255</v>
      </c>
      <c r="W20" s="93">
        <f t="shared" ca="1" si="10"/>
        <v>15328.097727870239</v>
      </c>
      <c r="X20" s="93">
        <f t="shared" ca="1" si="10"/>
        <v>15749.599362552241</v>
      </c>
      <c r="Y20" s="93">
        <f t="shared" ca="1" si="10"/>
        <v>16088.231427891697</v>
      </c>
      <c r="Z20" s="93">
        <f t="shared" ca="1" si="10"/>
        <v>16342.44022081714</v>
      </c>
      <c r="AA20" s="93">
        <f t="shared" ca="1" si="10"/>
        <v>16510.647699023797</v>
      </c>
      <c r="AB20" s="93">
        <f t="shared" ca="1" si="10"/>
        <v>16597.917786281705</v>
      </c>
      <c r="AC20" s="93">
        <f t="shared" ca="1" si="10"/>
        <v>16675.256463854614</v>
      </c>
      <c r="AD20" s="93">
        <f t="shared" ca="1" si="10"/>
        <v>16570.276998210913</v>
      </c>
      <c r="AE20" s="93">
        <f t="shared" ca="1" si="10"/>
        <v>16569.863739398344</v>
      </c>
      <c r="AF20" s="93">
        <f t="shared" ca="1" si="10"/>
        <v>16568.888605151573</v>
      </c>
      <c r="AG20" s="93">
        <f t="shared" ca="1" si="10"/>
        <v>16567.410843227324</v>
      </c>
      <c r="AH20" s="102">
        <f t="shared" ca="1" si="10"/>
        <v>16565.491898898585</v>
      </c>
      <c r="AI20" s="93">
        <f t="shared" ca="1" si="10"/>
        <v>16563.195468732727</v>
      </c>
      <c r="AJ20" s="93">
        <f t="shared" ca="1" si="10"/>
        <v>16519.110717505824</v>
      </c>
      <c r="AK20" s="93">
        <f t="shared" ca="1" si="10"/>
        <v>16476.870822328328</v>
      </c>
      <c r="AL20" s="93">
        <f t="shared" ca="1" si="10"/>
        <v>16436.571307954709</v>
      </c>
      <c r="AM20" s="93">
        <f t="shared" ca="1" si="10"/>
        <v>16459.887574234686</v>
      </c>
      <c r="AN20" s="93">
        <f t="shared" ca="1" si="10"/>
        <v>16437.218744857157</v>
      </c>
      <c r="AO20" s="93">
        <f t="shared" ca="1" si="10"/>
        <v>16415.933624764184</v>
      </c>
      <c r="AP20" s="93">
        <f t="shared" ca="1" si="10"/>
        <v>16396.04821789416</v>
      </c>
      <c r="AQ20" s="93">
        <f t="shared" ref="AQ20:BR20" ca="1" si="11">SUM(AQ9,AQ19)</f>
        <v>16377.578760999939</v>
      </c>
      <c r="AR20" s="93">
        <f t="shared" ca="1" si="11"/>
        <v>16360.541726981908</v>
      </c>
      <c r="AS20" s="93">
        <f t="shared" ca="1" si="11"/>
        <v>16344.953828269021</v>
      </c>
      <c r="AT20" s="102">
        <f t="shared" ca="1" si="11"/>
        <v>16330.83202024843</v>
      </c>
      <c r="AU20" s="93">
        <f t="shared" ca="1" si="11"/>
        <v>16318.193504744482</v>
      </c>
      <c r="AV20" s="93">
        <f t="shared" ca="1" si="11"/>
        <v>16307.05573354773</v>
      </c>
      <c r="AW20" s="93">
        <f t="shared" ca="1" si="11"/>
        <v>16297.436411994733</v>
      </c>
      <c r="AX20" s="93">
        <f t="shared" ca="1" si="11"/>
        <v>16289.353502599339</v>
      </c>
      <c r="AY20" s="93">
        <f t="shared" ca="1" si="11"/>
        <v>16282.825228736194</v>
      </c>
      <c r="AZ20" s="93">
        <f t="shared" ca="1" si="11"/>
        <v>16379.231864322766</v>
      </c>
      <c r="BA20" s="93">
        <f t="shared" ca="1" si="11"/>
        <v>16477.027656201171</v>
      </c>
      <c r="BB20" s="93">
        <f t="shared" ca="1" si="11"/>
        <v>16576.231937048626</v>
      </c>
      <c r="BC20" s="93">
        <f t="shared" ca="1" si="11"/>
        <v>16574.369988605577</v>
      </c>
      <c r="BD20" s="93">
        <f t="shared" ca="1" si="11"/>
        <v>16572.58247352844</v>
      </c>
      <c r="BE20" s="93">
        <f t="shared" ca="1" si="11"/>
        <v>16570.869680240943</v>
      </c>
      <c r="BF20" s="102">
        <f t="shared" ca="1" si="11"/>
        <v>16569.231898692666</v>
      </c>
      <c r="BG20" s="93">
        <f t="shared" ca="1" si="11"/>
        <v>16567.669420366594</v>
      </c>
      <c r="BH20" s="93">
        <f t="shared" ca="1" si="11"/>
        <v>16566.18253828671</v>
      </c>
      <c r="BI20" s="93">
        <f t="shared" ca="1" si="11"/>
        <v>16564.771547025608</v>
      </c>
      <c r="BJ20" s="93">
        <f t="shared" ca="1" si="11"/>
        <v>16563.436742712151</v>
      </c>
      <c r="BK20" s="93">
        <f t="shared" ca="1" si="11"/>
        <v>16562.178423039179</v>
      </c>
      <c r="BL20" s="93">
        <f t="shared" ca="1" si="11"/>
        <v>16560.996887271227</v>
      </c>
      <c r="BM20" s="93">
        <f t="shared" ca="1" si="11"/>
        <v>16559.892436252321</v>
      </c>
      <c r="BN20" s="93">
        <f t="shared" ca="1" si="11"/>
        <v>16558.865372413773</v>
      </c>
      <c r="BO20" s="93">
        <f t="shared" ca="1" si="11"/>
        <v>16557.915999782053</v>
      </c>
      <c r="BP20" s="93">
        <f t="shared" ca="1" si="11"/>
        <v>16557.044623986665</v>
      </c>
      <c r="BQ20" s="93">
        <f t="shared" ca="1" si="11"/>
        <v>16556.251552268099</v>
      </c>
      <c r="BR20" s="102">
        <f t="shared" ca="1" si="11"/>
        <v>16555.537093485778</v>
      </c>
    </row>
    <row r="21" spans="1:70" s="105" customFormat="1" ht="6" customHeight="1" x14ac:dyDescent="0.3">
      <c r="A21" s="6"/>
      <c r="B21" s="104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</row>
    <row r="22" spans="1:70" s="93" customFormat="1" x14ac:dyDescent="0.3">
      <c r="A22" s="6"/>
      <c r="B22" s="97" t="s">
        <v>126</v>
      </c>
      <c r="E22" s="96">
        <f t="shared" si="0"/>
        <v>60</v>
      </c>
      <c r="F22" s="96">
        <f t="shared" si="1"/>
        <v>60</v>
      </c>
      <c r="G22" s="96">
        <f t="shared" si="2"/>
        <v>60</v>
      </c>
      <c r="H22" s="96">
        <f t="shared" si="3"/>
        <v>60</v>
      </c>
      <c r="I22" s="96">
        <f t="shared" si="4"/>
        <v>60</v>
      </c>
      <c r="K22" s="95">
        <f>CapitalShortStart+Credit!K6</f>
        <v>10</v>
      </c>
      <c r="L22" s="95">
        <f>K22+Credit!L6</f>
        <v>10</v>
      </c>
      <c r="M22" s="95">
        <f>L22+Credit!M6</f>
        <v>10</v>
      </c>
      <c r="N22" s="95">
        <f>M22+Credit!N6</f>
        <v>10</v>
      </c>
      <c r="O22" s="95">
        <f>N22+Credit!O6</f>
        <v>10</v>
      </c>
      <c r="P22" s="95">
        <f>O22+Credit!P6</f>
        <v>35</v>
      </c>
      <c r="Q22" s="95">
        <f>P22+Credit!Q6</f>
        <v>35</v>
      </c>
      <c r="R22" s="95">
        <f>Q22+Credit!R6</f>
        <v>35</v>
      </c>
      <c r="S22" s="95">
        <f>R22+Credit!S6</f>
        <v>60</v>
      </c>
      <c r="T22" s="95">
        <f>S22+Credit!T6</f>
        <v>60</v>
      </c>
      <c r="U22" s="95">
        <f>T22+Credit!U6</f>
        <v>60</v>
      </c>
      <c r="V22" s="96">
        <f>U22+Credit!V6</f>
        <v>60</v>
      </c>
      <c r="W22" s="94">
        <f>V22+Credit!W6</f>
        <v>60</v>
      </c>
      <c r="X22" s="95">
        <f>W22+Credit!X6</f>
        <v>60</v>
      </c>
      <c r="Y22" s="95">
        <f>X22+Credit!Y6</f>
        <v>60</v>
      </c>
      <c r="Z22" s="95">
        <f>Y22+Credit!Z6</f>
        <v>60</v>
      </c>
      <c r="AA22" s="95">
        <f>Z22+Credit!AA6</f>
        <v>60</v>
      </c>
      <c r="AB22" s="95">
        <f>AA22+Credit!AB6</f>
        <v>60</v>
      </c>
      <c r="AC22" s="95">
        <f>AB22+Credit!AC6</f>
        <v>60</v>
      </c>
      <c r="AD22" s="95">
        <f>AC22+Credit!AD6</f>
        <v>60</v>
      </c>
      <c r="AE22" s="95">
        <f>AD22+Credit!AE6</f>
        <v>60</v>
      </c>
      <c r="AF22" s="95">
        <f>AE22+Credit!AF6</f>
        <v>60</v>
      </c>
      <c r="AG22" s="95">
        <f>AF22+Credit!AG6</f>
        <v>60</v>
      </c>
      <c r="AH22" s="96">
        <f>AG22+Credit!AH6</f>
        <v>60</v>
      </c>
      <c r="AI22" s="94">
        <f>AH22+Credit!AI6</f>
        <v>60</v>
      </c>
      <c r="AJ22" s="95">
        <f>AI22+Credit!AJ6</f>
        <v>60</v>
      </c>
      <c r="AK22" s="95">
        <f>AJ22+Credit!AK6</f>
        <v>60</v>
      </c>
      <c r="AL22" s="95">
        <f>AK22+Credit!AL6</f>
        <v>60</v>
      </c>
      <c r="AM22" s="95">
        <f>AL22+Credit!AM6</f>
        <v>60</v>
      </c>
      <c r="AN22" s="95">
        <f>AM22+Credit!AN6</f>
        <v>60</v>
      </c>
      <c r="AO22" s="95">
        <f>AN22+Credit!AO6</f>
        <v>60</v>
      </c>
      <c r="AP22" s="95">
        <f>AO22+Credit!AP6</f>
        <v>60</v>
      </c>
      <c r="AQ22" s="95">
        <f>AP22+Credit!AQ6</f>
        <v>60</v>
      </c>
      <c r="AR22" s="95">
        <f>AQ22+Credit!AR6</f>
        <v>60</v>
      </c>
      <c r="AS22" s="95">
        <f>AR22+Credit!AS6</f>
        <v>60</v>
      </c>
      <c r="AT22" s="96">
        <f>AS22+Credit!AT6</f>
        <v>60</v>
      </c>
      <c r="AU22" s="94">
        <f>AT22+Credit!AU6</f>
        <v>60</v>
      </c>
      <c r="AV22" s="95">
        <f>AU22+Credit!AV6</f>
        <v>60</v>
      </c>
      <c r="AW22" s="95">
        <f>AV22+Credit!AW6</f>
        <v>60</v>
      </c>
      <c r="AX22" s="95">
        <f>AW22+Credit!AX6</f>
        <v>60</v>
      </c>
      <c r="AY22" s="95">
        <f>AX22+Credit!AY6</f>
        <v>60</v>
      </c>
      <c r="AZ22" s="95">
        <f>AY22+Credit!AZ6</f>
        <v>60</v>
      </c>
      <c r="BA22" s="95">
        <f>AZ22+Credit!BA6</f>
        <v>60</v>
      </c>
      <c r="BB22" s="95">
        <f>BA22+Credit!BB6</f>
        <v>60</v>
      </c>
      <c r="BC22" s="95">
        <f>BB22+Credit!BC6</f>
        <v>60</v>
      </c>
      <c r="BD22" s="95">
        <f>BC22+Credit!BD6</f>
        <v>60</v>
      </c>
      <c r="BE22" s="95">
        <f>BD22+Credit!BE6</f>
        <v>60</v>
      </c>
      <c r="BF22" s="96">
        <f>BE22+Credit!BF6</f>
        <v>60</v>
      </c>
      <c r="BG22" s="94">
        <f>BF22+Credit!BG6</f>
        <v>60</v>
      </c>
      <c r="BH22" s="95">
        <f>BG22+Credit!BH6</f>
        <v>60</v>
      </c>
      <c r="BI22" s="95">
        <f>BH22+Credit!BI6</f>
        <v>60</v>
      </c>
      <c r="BJ22" s="95">
        <f>BI22+Credit!BJ6</f>
        <v>60</v>
      </c>
      <c r="BK22" s="95">
        <f>BJ22+Credit!BK6</f>
        <v>60</v>
      </c>
      <c r="BL22" s="95">
        <f>BK22+Credit!BL6</f>
        <v>60</v>
      </c>
      <c r="BM22" s="95">
        <f>BL22+Credit!BM6</f>
        <v>60</v>
      </c>
      <c r="BN22" s="95">
        <f>BM22+Credit!BN6</f>
        <v>60</v>
      </c>
      <c r="BO22" s="95">
        <f>BN22+Credit!BO6</f>
        <v>60</v>
      </c>
      <c r="BP22" s="95">
        <f>BO22+Credit!BP6</f>
        <v>60</v>
      </c>
      <c r="BQ22" s="95">
        <f>BP22+Credit!BQ6</f>
        <v>60</v>
      </c>
      <c r="BR22" s="96">
        <f>BQ22+Credit!BR6</f>
        <v>60</v>
      </c>
    </row>
    <row r="23" spans="1:70" s="93" customFormat="1" x14ac:dyDescent="0.3">
      <c r="A23" s="120"/>
      <c r="B23" s="121" t="s">
        <v>127</v>
      </c>
      <c r="E23" s="122">
        <f t="shared" ca="1" si="0"/>
        <v>15070.944281642462</v>
      </c>
      <c r="F23" s="122">
        <f t="shared" ca="1" si="1"/>
        <v>16505.761639128224</v>
      </c>
      <c r="G23" s="122">
        <f t="shared" ca="1" si="2"/>
        <v>15897.223457787659</v>
      </c>
      <c r="H23" s="122">
        <f t="shared" ca="1" si="3"/>
        <v>15484.042457892081</v>
      </c>
      <c r="I23" s="122">
        <f t="shared" ca="1" si="4"/>
        <v>14616.407831834178</v>
      </c>
      <c r="K23" s="124">
        <f ca="1">Credit!K46</f>
        <v>2358.137497165068</v>
      </c>
      <c r="L23" s="124">
        <f ca="1">Credit!L46</f>
        <v>4616.0282908117824</v>
      </c>
      <c r="M23" s="124">
        <f ca="1">Credit!M46</f>
        <v>6751.5456623304444</v>
      </c>
      <c r="N23" s="124">
        <f ca="1">Credit!N46</f>
        <v>8212.0321673048966</v>
      </c>
      <c r="O23" s="124">
        <f ca="1">Credit!O46</f>
        <v>9340.8328254985263</v>
      </c>
      <c r="P23" s="124">
        <f ca="1">Credit!P46</f>
        <v>10502.714021492729</v>
      </c>
      <c r="Q23" s="124">
        <f ca="1">Credit!Q46</f>
        <v>11474.304854362785</v>
      </c>
      <c r="R23" s="124">
        <f ca="1">Credit!R46</f>
        <v>12408.224726350998</v>
      </c>
      <c r="S23" s="124">
        <f ca="1">Credit!S46</f>
        <v>13185.399302760696</v>
      </c>
      <c r="T23" s="124">
        <f ca="1">Credit!T46</f>
        <v>13903.716524344487</v>
      </c>
      <c r="U23" s="124">
        <f ca="1">Credit!U46</f>
        <v>14545.567358871487</v>
      </c>
      <c r="V23" s="122">
        <f ca="1">Credit!V46</f>
        <v>15070.944281642462</v>
      </c>
      <c r="W23" s="123">
        <f ca="1">Credit!W46</f>
        <v>15550.929996872517</v>
      </c>
      <c r="X23" s="124">
        <f ca="1">Credit!X46</f>
        <v>15943.607577477209</v>
      </c>
      <c r="Y23" s="124">
        <f ca="1">Credit!Y46</f>
        <v>16262.684252411675</v>
      </c>
      <c r="Z23" s="124">
        <f ca="1">Credit!Z46</f>
        <v>16492.481414147249</v>
      </c>
      <c r="AA23" s="124">
        <f ca="1">Credit!AA46</f>
        <v>16631.962220442452</v>
      </c>
      <c r="AB23" s="124">
        <f ca="1">Credit!AB46</f>
        <v>16793.896104866406</v>
      </c>
      <c r="AC23" s="124">
        <f ca="1">Credit!AC46</f>
        <v>16845.785698547941</v>
      </c>
      <c r="AD23" s="124">
        <f ca="1">Credit!AD46</f>
        <v>16662.74769478511</v>
      </c>
      <c r="AE23" s="124">
        <f ca="1">Credit!AE46</f>
        <v>16625.169010449667</v>
      </c>
      <c r="AF23" s="124">
        <f ca="1">Credit!AF46</f>
        <v>16586.467462302513</v>
      </c>
      <c r="AG23" s="124">
        <f ca="1">Credit!AG46</f>
        <v>16546.659308802948</v>
      </c>
      <c r="AH23" s="122">
        <f ca="1">Credit!AH46</f>
        <v>16505.761639128224</v>
      </c>
      <c r="AI23" s="123">
        <f ca="1">Credit!AI46</f>
        <v>16463.79239440196</v>
      </c>
      <c r="AJ23" s="124">
        <f ca="1">Credit!AJ46</f>
        <v>16404.23248256911</v>
      </c>
      <c r="AK23" s="124">
        <f ca="1">Credit!AK46</f>
        <v>16344.471131356297</v>
      </c>
      <c r="AL23" s="124">
        <f ca="1">Credit!AL46</f>
        <v>16284.538877538324</v>
      </c>
      <c r="AM23" s="124">
        <f ca="1">Credit!AM46</f>
        <v>16288.773501181595</v>
      </c>
      <c r="AN23" s="124">
        <f ca="1">Credit!AN46</f>
        <v>16234.089625689972</v>
      </c>
      <c r="AO23" s="124">
        <f ca="1">Credit!AO46</f>
        <v>16178.990680232142</v>
      </c>
      <c r="AP23" s="124">
        <f ca="1">Credit!AP46</f>
        <v>16123.475293090392</v>
      </c>
      <c r="AQ23" s="124">
        <f ca="1">Credit!AQ46</f>
        <v>16067.5421366092</v>
      </c>
      <c r="AR23" s="124">
        <f ca="1">Credit!AR46</f>
        <v>16011.189928250322</v>
      </c>
      <c r="AS23" s="124">
        <f ca="1">Credit!AS46</f>
        <v>15954.41743166559</v>
      </c>
      <c r="AT23" s="122">
        <f ca="1">Credit!AT46</f>
        <v>15897.223457787659</v>
      </c>
      <c r="AU23" s="123">
        <f ca="1">Credit!AU46</f>
        <v>15839.606865938997</v>
      </c>
      <c r="AV23" s="124">
        <f ca="1">Credit!AV46</f>
        <v>15781.566564959392</v>
      </c>
      <c r="AW23" s="124">
        <f ca="1">Credit!AW46</f>
        <v>15723.101514352249</v>
      </c>
      <c r="AX23" s="124">
        <f ca="1">Credit!AX46</f>
        <v>15661.210725449962</v>
      </c>
      <c r="AY23" s="124">
        <f ca="1">Credit!AY46</f>
        <v>15601.883512598664</v>
      </c>
      <c r="AZ23" s="124">
        <f ca="1">Credit!AZ46</f>
        <v>15646.562294217872</v>
      </c>
      <c r="BA23" s="124">
        <f ca="1">Credit!BA46</f>
        <v>15690.878119709319</v>
      </c>
      <c r="BB23" s="124">
        <f ca="1">Credit!BB46</f>
        <v>15734.830875869582</v>
      </c>
      <c r="BC23" s="124">
        <f ca="1">Credit!BC46</f>
        <v>15673.727215556411</v>
      </c>
      <c r="BD23" s="124">
        <f ca="1">Credit!BD46</f>
        <v>15611.566886155611</v>
      </c>
      <c r="BE23" s="124">
        <f ca="1">Credit!BE46</f>
        <v>15548.341460353917</v>
      </c>
      <c r="BF23" s="122">
        <f ca="1">Credit!BF46</f>
        <v>15484.042457892081</v>
      </c>
      <c r="BG23" s="123">
        <f ca="1">Credit!BG46</f>
        <v>15418.661345263918</v>
      </c>
      <c r="BH23" s="124">
        <f ca="1">Credit!BH46</f>
        <v>15352.189535413723</v>
      </c>
      <c r="BI23" s="124">
        <f ca="1">Credit!BI46</f>
        <v>15284.618387432067</v>
      </c>
      <c r="BJ23" s="124">
        <f ca="1">Credit!BJ46</f>
        <v>15215.939206249939</v>
      </c>
      <c r="BK23" s="124">
        <f ca="1">Credit!BK46</f>
        <v>15146.143242331247</v>
      </c>
      <c r="BL23" s="124">
        <f ca="1">Credit!BL46</f>
        <v>15075.22169136366</v>
      </c>
      <c r="BM23" s="124">
        <f ca="1">Credit!BM46</f>
        <v>14994.165693947782</v>
      </c>
      <c r="BN23" s="124">
        <f ca="1">Credit!BN46</f>
        <v>14920.93708528465</v>
      </c>
      <c r="BO23" s="124">
        <f ca="1">Credit!BO46</f>
        <v>14846.556049799052</v>
      </c>
      <c r="BP23" s="124">
        <f ca="1">Credit!BP46</f>
        <v>14771.013560639696</v>
      </c>
      <c r="BQ23" s="124">
        <f ca="1">Credit!BQ46</f>
        <v>14694.300534607075</v>
      </c>
      <c r="BR23" s="122">
        <f ca="1">Credit!BR46</f>
        <v>14616.407831834178</v>
      </c>
    </row>
    <row r="24" spans="1:70" s="105" customFormat="1" x14ac:dyDescent="0.3">
      <c r="A24" s="14"/>
      <c r="B24" s="104" t="s">
        <v>128</v>
      </c>
      <c r="E24" s="94">
        <f t="shared" ca="1" si="0"/>
        <v>15130.944281642462</v>
      </c>
      <c r="F24" s="94">
        <f t="shared" ca="1" si="1"/>
        <v>16565.761639128224</v>
      </c>
      <c r="G24" s="94">
        <f t="shared" ca="1" si="2"/>
        <v>15957.223457787659</v>
      </c>
      <c r="H24" s="94">
        <f t="shared" ca="1" si="3"/>
        <v>15544.042457892081</v>
      </c>
      <c r="I24" s="94">
        <f t="shared" ca="1" si="4"/>
        <v>14676.407831834178</v>
      </c>
      <c r="K24" s="105">
        <f t="shared" ref="K24:AP24" ca="1" si="12">SUM(K22:K23)</f>
        <v>2368.137497165068</v>
      </c>
      <c r="L24" s="105">
        <f t="shared" ca="1" si="12"/>
        <v>4626.0282908117824</v>
      </c>
      <c r="M24" s="105">
        <f t="shared" ca="1" si="12"/>
        <v>6761.5456623304444</v>
      </c>
      <c r="N24" s="105">
        <f t="shared" ca="1" si="12"/>
        <v>8222.0321673048966</v>
      </c>
      <c r="O24" s="105">
        <f t="shared" ca="1" si="12"/>
        <v>9350.8328254985263</v>
      </c>
      <c r="P24" s="105">
        <f t="shared" ca="1" si="12"/>
        <v>10537.714021492729</v>
      </c>
      <c r="Q24" s="105">
        <f t="shared" ca="1" si="12"/>
        <v>11509.304854362785</v>
      </c>
      <c r="R24" s="105">
        <f t="shared" ca="1" si="12"/>
        <v>12443.224726350998</v>
      </c>
      <c r="S24" s="105">
        <f t="shared" ca="1" si="12"/>
        <v>13245.399302760696</v>
      </c>
      <c r="T24" s="105">
        <f t="shared" ca="1" si="12"/>
        <v>13963.716524344487</v>
      </c>
      <c r="U24" s="105">
        <f t="shared" ca="1" si="12"/>
        <v>14605.567358871487</v>
      </c>
      <c r="V24" s="125">
        <f t="shared" ca="1" si="12"/>
        <v>15130.944281642462</v>
      </c>
      <c r="W24" s="105">
        <f t="shared" ca="1" si="12"/>
        <v>15610.929996872517</v>
      </c>
      <c r="X24" s="105">
        <f t="shared" ca="1" si="12"/>
        <v>16003.607577477209</v>
      </c>
      <c r="Y24" s="105">
        <f t="shared" ca="1" si="12"/>
        <v>16322.684252411675</v>
      </c>
      <c r="Z24" s="105">
        <f t="shared" ca="1" si="12"/>
        <v>16552.481414147249</v>
      </c>
      <c r="AA24" s="105">
        <f t="shared" ca="1" si="12"/>
        <v>16691.962220442452</v>
      </c>
      <c r="AB24" s="105">
        <f t="shared" ca="1" si="12"/>
        <v>16853.896104866406</v>
      </c>
      <c r="AC24" s="105">
        <f t="shared" ca="1" si="12"/>
        <v>16905.785698547941</v>
      </c>
      <c r="AD24" s="105">
        <f t="shared" ca="1" si="12"/>
        <v>16722.74769478511</v>
      </c>
      <c r="AE24" s="105">
        <f t="shared" ca="1" si="12"/>
        <v>16685.169010449667</v>
      </c>
      <c r="AF24" s="105">
        <f t="shared" ca="1" si="12"/>
        <v>16646.467462302513</v>
      </c>
      <c r="AG24" s="105">
        <f t="shared" ca="1" si="12"/>
        <v>16606.659308802948</v>
      </c>
      <c r="AH24" s="125">
        <f t="shared" ca="1" si="12"/>
        <v>16565.761639128224</v>
      </c>
      <c r="AI24" s="105">
        <f t="shared" ca="1" si="12"/>
        <v>16523.79239440196</v>
      </c>
      <c r="AJ24" s="105">
        <f t="shared" ca="1" si="12"/>
        <v>16464.23248256911</v>
      </c>
      <c r="AK24" s="105">
        <f t="shared" ca="1" si="12"/>
        <v>16404.471131356295</v>
      </c>
      <c r="AL24" s="105">
        <f t="shared" ca="1" si="12"/>
        <v>16344.538877538324</v>
      </c>
      <c r="AM24" s="105">
        <f t="shared" ca="1" si="12"/>
        <v>16348.773501181595</v>
      </c>
      <c r="AN24" s="105">
        <f t="shared" ca="1" si="12"/>
        <v>16294.089625689972</v>
      </c>
      <c r="AO24" s="105">
        <f t="shared" ca="1" si="12"/>
        <v>16238.990680232142</v>
      </c>
      <c r="AP24" s="105">
        <f t="shared" ca="1" si="12"/>
        <v>16183.475293090392</v>
      </c>
      <c r="AQ24" s="105">
        <f t="shared" ref="AQ24:BR24" ca="1" si="13">SUM(AQ22:AQ23)</f>
        <v>16127.5421366092</v>
      </c>
      <c r="AR24" s="105">
        <f t="shared" ca="1" si="13"/>
        <v>16071.189928250322</v>
      </c>
      <c r="AS24" s="105">
        <f t="shared" ca="1" si="13"/>
        <v>16014.41743166559</v>
      </c>
      <c r="AT24" s="125">
        <f t="shared" ca="1" si="13"/>
        <v>15957.223457787659</v>
      </c>
      <c r="AU24" s="105">
        <f t="shared" ca="1" si="13"/>
        <v>15899.606865938997</v>
      </c>
      <c r="AV24" s="105">
        <f t="shared" ca="1" si="13"/>
        <v>15841.566564959392</v>
      </c>
      <c r="AW24" s="105">
        <f t="shared" ca="1" si="13"/>
        <v>15783.101514352249</v>
      </c>
      <c r="AX24" s="105">
        <f t="shared" ca="1" si="13"/>
        <v>15721.210725449962</v>
      </c>
      <c r="AY24" s="105">
        <f t="shared" ca="1" si="13"/>
        <v>15661.883512598664</v>
      </c>
      <c r="AZ24" s="105">
        <f t="shared" ca="1" si="13"/>
        <v>15706.562294217872</v>
      </c>
      <c r="BA24" s="105">
        <f t="shared" ca="1" si="13"/>
        <v>15750.878119709319</v>
      </c>
      <c r="BB24" s="105">
        <f t="shared" ca="1" si="13"/>
        <v>15794.830875869582</v>
      </c>
      <c r="BC24" s="105">
        <f t="shared" ca="1" si="13"/>
        <v>15733.727215556411</v>
      </c>
      <c r="BD24" s="105">
        <f t="shared" ca="1" si="13"/>
        <v>15671.566886155611</v>
      </c>
      <c r="BE24" s="105">
        <f t="shared" ca="1" si="13"/>
        <v>15608.341460353917</v>
      </c>
      <c r="BF24" s="125">
        <f t="shared" ca="1" si="13"/>
        <v>15544.042457892081</v>
      </c>
      <c r="BG24" s="105">
        <f t="shared" ca="1" si="13"/>
        <v>15478.661345263918</v>
      </c>
      <c r="BH24" s="105">
        <f t="shared" ca="1" si="13"/>
        <v>15412.189535413723</v>
      </c>
      <c r="BI24" s="105">
        <f t="shared" ca="1" si="13"/>
        <v>15344.618387432067</v>
      </c>
      <c r="BJ24" s="105">
        <f t="shared" ca="1" si="13"/>
        <v>15275.939206249939</v>
      </c>
      <c r="BK24" s="105">
        <f t="shared" ca="1" si="13"/>
        <v>15206.143242331247</v>
      </c>
      <c r="BL24" s="105">
        <f t="shared" ca="1" si="13"/>
        <v>15135.22169136366</v>
      </c>
      <c r="BM24" s="105">
        <f t="shared" ca="1" si="13"/>
        <v>15054.165693947782</v>
      </c>
      <c r="BN24" s="105">
        <f t="shared" ca="1" si="13"/>
        <v>14980.93708528465</v>
      </c>
      <c r="BO24" s="105">
        <f t="shared" ca="1" si="13"/>
        <v>14906.556049799052</v>
      </c>
      <c r="BP24" s="105">
        <f t="shared" ca="1" si="13"/>
        <v>14831.013560639696</v>
      </c>
      <c r="BQ24" s="105">
        <f t="shared" ca="1" si="13"/>
        <v>14754.300534607075</v>
      </c>
      <c r="BR24" s="125">
        <f t="shared" ca="1" si="13"/>
        <v>14676.407831834178</v>
      </c>
    </row>
    <row r="25" spans="1:70" s="93" customFormat="1" x14ac:dyDescent="0.3">
      <c r="A25" s="14"/>
      <c r="B25" s="266" t="s">
        <v>129</v>
      </c>
      <c r="E25" s="99">
        <f t="shared" si="0"/>
        <v>100</v>
      </c>
      <c r="F25" s="99">
        <f t="shared" si="1"/>
        <v>100</v>
      </c>
      <c r="G25" s="99">
        <f t="shared" si="2"/>
        <v>100</v>
      </c>
      <c r="H25" s="99">
        <f t="shared" si="3"/>
        <v>100</v>
      </c>
      <c r="I25" s="99">
        <f t="shared" si="4"/>
        <v>100</v>
      </c>
      <c r="K25" s="99">
        <f>CapitalLongStart+Credit!K7</f>
        <v>100</v>
      </c>
      <c r="L25" s="99">
        <f>K25+Credit!L7</f>
        <v>100</v>
      </c>
      <c r="M25" s="99">
        <f>L25+Credit!M7</f>
        <v>100</v>
      </c>
      <c r="N25" s="99">
        <f>M25+Credit!N7</f>
        <v>100</v>
      </c>
      <c r="O25" s="99">
        <f>N25+Credit!O7</f>
        <v>100</v>
      </c>
      <c r="P25" s="99">
        <f>O25+Credit!P7</f>
        <v>100</v>
      </c>
      <c r="Q25" s="99">
        <f>P25+Credit!Q7</f>
        <v>100</v>
      </c>
      <c r="R25" s="99">
        <f>Q25+Credit!R7</f>
        <v>100</v>
      </c>
      <c r="S25" s="99">
        <f>R25+Credit!S7</f>
        <v>100</v>
      </c>
      <c r="T25" s="99">
        <f>S25+Credit!T7</f>
        <v>100</v>
      </c>
      <c r="U25" s="99">
        <f>T25+Credit!U7</f>
        <v>100</v>
      </c>
      <c r="V25" s="107">
        <f>U25+Credit!V7</f>
        <v>100</v>
      </c>
      <c r="W25" s="99">
        <f>V25+Credit!W7</f>
        <v>100</v>
      </c>
      <c r="X25" s="99">
        <f>W25+Credit!X7</f>
        <v>100</v>
      </c>
      <c r="Y25" s="99">
        <f>X25+Credit!Y7</f>
        <v>100</v>
      </c>
      <c r="Z25" s="99">
        <f>Y25+Credit!Z7</f>
        <v>100</v>
      </c>
      <c r="AA25" s="99">
        <f>Z25+Credit!AA7</f>
        <v>100</v>
      </c>
      <c r="AB25" s="99">
        <f>AA25+Credit!AB7</f>
        <v>100</v>
      </c>
      <c r="AC25" s="99">
        <f>AB25+Credit!AC7</f>
        <v>100</v>
      </c>
      <c r="AD25" s="99">
        <f>AC25+Credit!AD7</f>
        <v>100</v>
      </c>
      <c r="AE25" s="99">
        <f>AD25+Credit!AE7</f>
        <v>100</v>
      </c>
      <c r="AF25" s="99">
        <f>AE25+Credit!AF7</f>
        <v>100</v>
      </c>
      <c r="AG25" s="99">
        <f>AF25+Credit!AG7</f>
        <v>100</v>
      </c>
      <c r="AH25" s="107">
        <f>AG25+Credit!AH7</f>
        <v>100</v>
      </c>
      <c r="AI25" s="99">
        <f>AH25+Credit!AI7</f>
        <v>100</v>
      </c>
      <c r="AJ25" s="99">
        <f>AI25+Credit!AJ7</f>
        <v>100</v>
      </c>
      <c r="AK25" s="99">
        <f>AJ25+Credit!AK7</f>
        <v>100</v>
      </c>
      <c r="AL25" s="99">
        <f>AK25+Credit!AL7</f>
        <v>100</v>
      </c>
      <c r="AM25" s="99">
        <f>AL25+Credit!AM7</f>
        <v>100</v>
      </c>
      <c r="AN25" s="99">
        <f>AM25+Credit!AN7</f>
        <v>100</v>
      </c>
      <c r="AO25" s="99">
        <f>AN25+Credit!AO7</f>
        <v>100</v>
      </c>
      <c r="AP25" s="99">
        <f>AO25+Credit!AP7</f>
        <v>100</v>
      </c>
      <c r="AQ25" s="99">
        <f>AP25+Credit!AQ7</f>
        <v>100</v>
      </c>
      <c r="AR25" s="99">
        <f>AQ25+Credit!AR7</f>
        <v>100</v>
      </c>
      <c r="AS25" s="99">
        <f>AR25+Credit!AS7</f>
        <v>100</v>
      </c>
      <c r="AT25" s="107">
        <f>AS25+Credit!AT7</f>
        <v>100</v>
      </c>
      <c r="AU25" s="99">
        <f>AT25+Credit!AU7</f>
        <v>100</v>
      </c>
      <c r="AV25" s="99">
        <f>AU25+Credit!AV7</f>
        <v>100</v>
      </c>
      <c r="AW25" s="99">
        <f>AV25+Credit!AW7</f>
        <v>100</v>
      </c>
      <c r="AX25" s="99">
        <f>AW25+Credit!AX7</f>
        <v>100</v>
      </c>
      <c r="AY25" s="99">
        <f>AX25+Credit!AY7</f>
        <v>100</v>
      </c>
      <c r="AZ25" s="99">
        <f>AY25+Credit!AZ7</f>
        <v>100</v>
      </c>
      <c r="BA25" s="99">
        <f>AZ25+Credit!BA7</f>
        <v>100</v>
      </c>
      <c r="BB25" s="99">
        <f>BA25+Credit!BB7</f>
        <v>100</v>
      </c>
      <c r="BC25" s="99">
        <f>BB25+Credit!BC7</f>
        <v>100</v>
      </c>
      <c r="BD25" s="99">
        <f>BC25+Credit!BD7</f>
        <v>100</v>
      </c>
      <c r="BE25" s="99">
        <f>BD25+Credit!BE7</f>
        <v>100</v>
      </c>
      <c r="BF25" s="107">
        <f>BE25+Credit!BF7</f>
        <v>100</v>
      </c>
      <c r="BG25" s="99">
        <f>BF25+Credit!BG7</f>
        <v>100</v>
      </c>
      <c r="BH25" s="99">
        <f>BG25+Credit!BH7</f>
        <v>100</v>
      </c>
      <c r="BI25" s="99">
        <f>BH25+Credit!BI7</f>
        <v>100</v>
      </c>
      <c r="BJ25" s="99">
        <f>BI25+Credit!BJ7</f>
        <v>100</v>
      </c>
      <c r="BK25" s="99">
        <f>BJ25+Credit!BK7</f>
        <v>100</v>
      </c>
      <c r="BL25" s="99">
        <f>BK25+Credit!BL7</f>
        <v>100</v>
      </c>
      <c r="BM25" s="99">
        <f>BL25+Credit!BM7</f>
        <v>100</v>
      </c>
      <c r="BN25" s="99">
        <f>BM25+Credit!BN7</f>
        <v>100</v>
      </c>
      <c r="BO25" s="99">
        <f>BN25+Credit!BO7</f>
        <v>100</v>
      </c>
      <c r="BP25" s="99">
        <f>BO25+Credit!BP7</f>
        <v>100</v>
      </c>
      <c r="BQ25" s="99">
        <f>BP25+Credit!BQ7</f>
        <v>100</v>
      </c>
      <c r="BR25" s="107">
        <f>BQ25+Credit!BR7</f>
        <v>100</v>
      </c>
    </row>
    <row r="26" spans="1:70" s="125" customFormat="1" x14ac:dyDescent="0.3">
      <c r="A26" s="14"/>
      <c r="B26" s="101" t="s">
        <v>130</v>
      </c>
      <c r="E26" s="125">
        <f t="shared" ca="1" si="0"/>
        <v>15230.944281642462</v>
      </c>
      <c r="F26" s="125">
        <f t="shared" ca="1" si="1"/>
        <v>16665.761639128224</v>
      </c>
      <c r="G26" s="125">
        <f t="shared" ca="1" si="2"/>
        <v>16057.223457787659</v>
      </c>
      <c r="H26" s="125">
        <f t="shared" ca="1" si="3"/>
        <v>15644.042457892081</v>
      </c>
      <c r="I26" s="125">
        <f t="shared" ca="1" si="4"/>
        <v>14776.407831834178</v>
      </c>
      <c r="K26" s="93">
        <f t="shared" ref="K26:AP26" ca="1" si="14">SUM(K24:K25)</f>
        <v>2468.137497165068</v>
      </c>
      <c r="L26" s="93">
        <f t="shared" ca="1" si="14"/>
        <v>4726.0282908117824</v>
      </c>
      <c r="M26" s="93">
        <f t="shared" ca="1" si="14"/>
        <v>6861.5456623304444</v>
      </c>
      <c r="N26" s="93">
        <f ca="1">SUM(N24:N25)</f>
        <v>8322.0321673048966</v>
      </c>
      <c r="O26" s="93">
        <f t="shared" ca="1" si="14"/>
        <v>9450.8328254985263</v>
      </c>
      <c r="P26" s="93">
        <f t="shared" ca="1" si="14"/>
        <v>10637.714021492729</v>
      </c>
      <c r="Q26" s="93">
        <f t="shared" ca="1" si="14"/>
        <v>11609.304854362785</v>
      </c>
      <c r="R26" s="93">
        <f t="shared" ca="1" si="14"/>
        <v>12543.224726350998</v>
      </c>
      <c r="S26" s="93">
        <f t="shared" ca="1" si="14"/>
        <v>13345.399302760696</v>
      </c>
      <c r="T26" s="93">
        <f t="shared" ca="1" si="14"/>
        <v>14063.716524344487</v>
      </c>
      <c r="U26" s="93">
        <f t="shared" ca="1" si="14"/>
        <v>14705.567358871487</v>
      </c>
      <c r="V26" s="102">
        <f t="shared" ca="1" si="14"/>
        <v>15230.944281642462</v>
      </c>
      <c r="W26" s="93">
        <f t="shared" ca="1" si="14"/>
        <v>15710.929996872517</v>
      </c>
      <c r="X26" s="93">
        <f t="shared" ca="1" si="14"/>
        <v>16103.607577477209</v>
      </c>
      <c r="Y26" s="93">
        <f t="shared" ca="1" si="14"/>
        <v>16422.684252411673</v>
      </c>
      <c r="Z26" s="93">
        <f t="shared" ca="1" si="14"/>
        <v>16652.481414147249</v>
      </c>
      <c r="AA26" s="93">
        <f t="shared" ca="1" si="14"/>
        <v>16791.962220442452</v>
      </c>
      <c r="AB26" s="93">
        <f t="shared" ca="1" si="14"/>
        <v>16953.896104866406</v>
      </c>
      <c r="AC26" s="93">
        <f t="shared" ca="1" si="14"/>
        <v>17005.785698547941</v>
      </c>
      <c r="AD26" s="93">
        <f t="shared" ca="1" si="14"/>
        <v>16822.74769478511</v>
      </c>
      <c r="AE26" s="93">
        <f t="shared" ca="1" si="14"/>
        <v>16785.169010449667</v>
      </c>
      <c r="AF26" s="93">
        <f t="shared" ca="1" si="14"/>
        <v>16746.467462302513</v>
      </c>
      <c r="AG26" s="93">
        <f t="shared" ca="1" si="14"/>
        <v>16706.659308802948</v>
      </c>
      <c r="AH26" s="102">
        <f t="shared" ca="1" si="14"/>
        <v>16665.761639128224</v>
      </c>
      <c r="AI26" s="93">
        <f t="shared" ca="1" si="14"/>
        <v>16623.79239440196</v>
      </c>
      <c r="AJ26" s="93">
        <f t="shared" ca="1" si="14"/>
        <v>16564.23248256911</v>
      </c>
      <c r="AK26" s="93">
        <f t="shared" ca="1" si="14"/>
        <v>16504.471131356295</v>
      </c>
      <c r="AL26" s="93">
        <f t="shared" ca="1" si="14"/>
        <v>16444.538877538325</v>
      </c>
      <c r="AM26" s="93">
        <f t="shared" ca="1" si="14"/>
        <v>16448.773501181597</v>
      </c>
      <c r="AN26" s="93">
        <f t="shared" ca="1" si="14"/>
        <v>16394.089625689972</v>
      </c>
      <c r="AO26" s="93">
        <f t="shared" ca="1" si="14"/>
        <v>16338.990680232142</v>
      </c>
      <c r="AP26" s="93">
        <f t="shared" ca="1" si="14"/>
        <v>16283.475293090392</v>
      </c>
      <c r="AQ26" s="93">
        <f t="shared" ref="AQ26:BR26" ca="1" si="15">SUM(AQ24:AQ25)</f>
        <v>16227.5421366092</v>
      </c>
      <c r="AR26" s="93">
        <f t="shared" ca="1" si="15"/>
        <v>16171.189928250322</v>
      </c>
      <c r="AS26" s="93">
        <f t="shared" ca="1" si="15"/>
        <v>16114.41743166559</v>
      </c>
      <c r="AT26" s="102">
        <f t="shared" ca="1" si="15"/>
        <v>16057.223457787659</v>
      </c>
      <c r="AU26" s="93">
        <f t="shared" ca="1" si="15"/>
        <v>15999.606865938997</v>
      </c>
      <c r="AV26" s="93">
        <f t="shared" ca="1" si="15"/>
        <v>15941.566564959392</v>
      </c>
      <c r="AW26" s="93">
        <f t="shared" ca="1" si="15"/>
        <v>15883.101514352249</v>
      </c>
      <c r="AX26" s="93">
        <f t="shared" ca="1" si="15"/>
        <v>15821.210725449962</v>
      </c>
      <c r="AY26" s="93">
        <f t="shared" ca="1" si="15"/>
        <v>15761.883512598664</v>
      </c>
      <c r="AZ26" s="93">
        <f t="shared" ca="1" si="15"/>
        <v>15806.562294217872</v>
      </c>
      <c r="BA26" s="93">
        <f t="shared" ca="1" si="15"/>
        <v>15850.878119709319</v>
      </c>
      <c r="BB26" s="93">
        <f t="shared" ca="1" si="15"/>
        <v>15894.830875869582</v>
      </c>
      <c r="BC26" s="93">
        <f t="shared" ca="1" si="15"/>
        <v>15833.727215556411</v>
      </c>
      <c r="BD26" s="93">
        <f t="shared" ca="1" si="15"/>
        <v>15771.566886155611</v>
      </c>
      <c r="BE26" s="93">
        <f t="shared" ca="1" si="15"/>
        <v>15708.341460353917</v>
      </c>
      <c r="BF26" s="102">
        <f t="shared" ca="1" si="15"/>
        <v>15644.042457892081</v>
      </c>
      <c r="BG26" s="93">
        <f t="shared" ca="1" si="15"/>
        <v>15578.661345263918</v>
      </c>
      <c r="BH26" s="93">
        <f t="shared" ca="1" si="15"/>
        <v>15512.189535413723</v>
      </c>
      <c r="BI26" s="93">
        <f t="shared" ca="1" si="15"/>
        <v>15444.618387432067</v>
      </c>
      <c r="BJ26" s="93">
        <f t="shared" ca="1" si="15"/>
        <v>15375.939206249939</v>
      </c>
      <c r="BK26" s="93">
        <f t="shared" ca="1" si="15"/>
        <v>15306.143242331247</v>
      </c>
      <c r="BL26" s="93">
        <f t="shared" ca="1" si="15"/>
        <v>15235.22169136366</v>
      </c>
      <c r="BM26" s="93">
        <f t="shared" ca="1" si="15"/>
        <v>15154.165693947782</v>
      </c>
      <c r="BN26" s="93">
        <f t="shared" ca="1" si="15"/>
        <v>15080.93708528465</v>
      </c>
      <c r="BO26" s="93">
        <f t="shared" ca="1" si="15"/>
        <v>15006.556049799052</v>
      </c>
      <c r="BP26" s="93">
        <f t="shared" ca="1" si="15"/>
        <v>14931.013560639696</v>
      </c>
      <c r="BQ26" s="93">
        <f t="shared" ca="1" si="15"/>
        <v>14854.300534607075</v>
      </c>
      <c r="BR26" s="102">
        <f t="shared" ca="1" si="15"/>
        <v>14776.407831834178</v>
      </c>
    </row>
    <row r="27" spans="1:70" s="105" customFormat="1" ht="6" customHeight="1" x14ac:dyDescent="0.3">
      <c r="A27" s="6"/>
      <c r="B27" s="104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</row>
    <row r="28" spans="1:70" s="93" customFormat="1" x14ac:dyDescent="0.3">
      <c r="A28" s="2"/>
      <c r="B28" s="97" t="s">
        <v>131</v>
      </c>
      <c r="E28" s="96">
        <f t="shared" si="0"/>
        <v>110</v>
      </c>
      <c r="F28" s="96">
        <f t="shared" si="1"/>
        <v>110</v>
      </c>
      <c r="G28" s="96">
        <f t="shared" si="2"/>
        <v>110</v>
      </c>
      <c r="H28" s="96">
        <f t="shared" si="3"/>
        <v>110</v>
      </c>
      <c r="I28" s="96">
        <f t="shared" si="4"/>
        <v>110</v>
      </c>
      <c r="K28" s="95">
        <f>CapitalPreferredStart+Credit!K9</f>
        <v>100</v>
      </c>
      <c r="L28" s="95">
        <f>K28+Credit!L9</f>
        <v>100</v>
      </c>
      <c r="M28" s="95">
        <f>L28+Credit!M9</f>
        <v>100</v>
      </c>
      <c r="N28" s="95">
        <f>M28+Credit!N9</f>
        <v>100</v>
      </c>
      <c r="O28" s="95">
        <f>N28+Credit!O9</f>
        <v>100</v>
      </c>
      <c r="P28" s="95">
        <f>O28+Credit!P9</f>
        <v>110</v>
      </c>
      <c r="Q28" s="95">
        <f>P28+Credit!Q9</f>
        <v>110</v>
      </c>
      <c r="R28" s="95">
        <f>Q28+Credit!R9</f>
        <v>110</v>
      </c>
      <c r="S28" s="95">
        <f>R28+Credit!S9</f>
        <v>110</v>
      </c>
      <c r="T28" s="95">
        <f>S28+Credit!T9</f>
        <v>110</v>
      </c>
      <c r="U28" s="95">
        <f>T28+Credit!U9</f>
        <v>110</v>
      </c>
      <c r="V28" s="96">
        <f>U28+Credit!V9</f>
        <v>110</v>
      </c>
      <c r="W28" s="94">
        <f>V28+Credit!W9</f>
        <v>110</v>
      </c>
      <c r="X28" s="95">
        <f>W28+Credit!X9</f>
        <v>110</v>
      </c>
      <c r="Y28" s="95">
        <f>X28+Credit!Y9</f>
        <v>110</v>
      </c>
      <c r="Z28" s="95">
        <f>Y28+Credit!Z9</f>
        <v>110</v>
      </c>
      <c r="AA28" s="95">
        <f>Z28+Credit!AA9</f>
        <v>110</v>
      </c>
      <c r="AB28" s="95">
        <f>AA28+Credit!AB9</f>
        <v>110</v>
      </c>
      <c r="AC28" s="95">
        <f>AB28+Credit!AC9</f>
        <v>110</v>
      </c>
      <c r="AD28" s="95">
        <f>AC28+Credit!AD9</f>
        <v>110</v>
      </c>
      <c r="AE28" s="95">
        <f>AD28+Credit!AE9</f>
        <v>110</v>
      </c>
      <c r="AF28" s="95">
        <f>AE28+Credit!AF9</f>
        <v>110</v>
      </c>
      <c r="AG28" s="95">
        <f>AF28+Credit!AG9</f>
        <v>110</v>
      </c>
      <c r="AH28" s="96">
        <f>AG28+Credit!AH9</f>
        <v>110</v>
      </c>
      <c r="AI28" s="94">
        <f>AH28+Credit!AI9</f>
        <v>110</v>
      </c>
      <c r="AJ28" s="95">
        <f>AI28+Credit!AJ9</f>
        <v>110</v>
      </c>
      <c r="AK28" s="95">
        <f>AJ28+Credit!AK9</f>
        <v>110</v>
      </c>
      <c r="AL28" s="95">
        <f>AK28+Credit!AL9</f>
        <v>110</v>
      </c>
      <c r="AM28" s="95">
        <f>AL28+Credit!AM9</f>
        <v>110</v>
      </c>
      <c r="AN28" s="95">
        <f>AM28+Credit!AN9</f>
        <v>110</v>
      </c>
      <c r="AO28" s="95">
        <f>AN28+Credit!AO9</f>
        <v>110</v>
      </c>
      <c r="AP28" s="95">
        <f>AO28+Credit!AP9</f>
        <v>110</v>
      </c>
      <c r="AQ28" s="95">
        <f>AP28+Credit!AQ9</f>
        <v>110</v>
      </c>
      <c r="AR28" s="95">
        <f>AQ28+Credit!AR9</f>
        <v>110</v>
      </c>
      <c r="AS28" s="95">
        <f>AR28+Credit!AS9</f>
        <v>110</v>
      </c>
      <c r="AT28" s="96">
        <f>AS28+Credit!AT9</f>
        <v>110</v>
      </c>
      <c r="AU28" s="94">
        <f>AT28+Credit!AU9</f>
        <v>110</v>
      </c>
      <c r="AV28" s="95">
        <f>AU28+Credit!AV9</f>
        <v>110</v>
      </c>
      <c r="AW28" s="95">
        <f>AV28+Credit!AW9</f>
        <v>110</v>
      </c>
      <c r="AX28" s="95">
        <f>AW28+Credit!AX9</f>
        <v>110</v>
      </c>
      <c r="AY28" s="95">
        <f>AX28+Credit!AY9</f>
        <v>110</v>
      </c>
      <c r="AZ28" s="95">
        <f>AY28+Credit!AZ9</f>
        <v>110</v>
      </c>
      <c r="BA28" s="95">
        <f>AZ28+Credit!BA9</f>
        <v>110</v>
      </c>
      <c r="BB28" s="95">
        <f>BA28+Credit!BB9</f>
        <v>110</v>
      </c>
      <c r="BC28" s="95">
        <f>BB28+Credit!BC9</f>
        <v>110</v>
      </c>
      <c r="BD28" s="95">
        <f>BC28+Credit!BD9</f>
        <v>110</v>
      </c>
      <c r="BE28" s="95">
        <f>BD28+Credit!BE9</f>
        <v>110</v>
      </c>
      <c r="BF28" s="96">
        <f>BE28+Credit!BF9</f>
        <v>110</v>
      </c>
      <c r="BG28" s="94">
        <f>BF28+Credit!BG9</f>
        <v>110</v>
      </c>
      <c r="BH28" s="95">
        <f>BG28+Credit!BH9</f>
        <v>110</v>
      </c>
      <c r="BI28" s="95">
        <f>BH28+Credit!BI9</f>
        <v>110</v>
      </c>
      <c r="BJ28" s="95">
        <f>BI28+Credit!BJ9</f>
        <v>110</v>
      </c>
      <c r="BK28" s="95">
        <f>BJ28+Credit!BK9</f>
        <v>110</v>
      </c>
      <c r="BL28" s="95">
        <f>BK28+Credit!BL9</f>
        <v>110</v>
      </c>
      <c r="BM28" s="95">
        <f>BL28+Credit!BM9</f>
        <v>110</v>
      </c>
      <c r="BN28" s="95">
        <f>BM28+Credit!BN9</f>
        <v>110</v>
      </c>
      <c r="BO28" s="95">
        <f>BN28+Credit!BO9</f>
        <v>110</v>
      </c>
      <c r="BP28" s="95">
        <f>BO28+Credit!BP9</f>
        <v>110</v>
      </c>
      <c r="BQ28" s="95">
        <f>BP28+Credit!BQ9</f>
        <v>110</v>
      </c>
      <c r="BR28" s="96">
        <f>BQ28+Credit!BR9</f>
        <v>110</v>
      </c>
    </row>
    <row r="29" spans="1:70" s="93" customFormat="1" x14ac:dyDescent="0.3">
      <c r="A29" s="6"/>
      <c r="B29" s="97" t="s">
        <v>132</v>
      </c>
      <c r="E29" s="96">
        <f t="shared" si="0"/>
        <v>50</v>
      </c>
      <c r="F29" s="96">
        <f t="shared" si="1"/>
        <v>50</v>
      </c>
      <c r="G29" s="96">
        <f t="shared" si="2"/>
        <v>50</v>
      </c>
      <c r="H29" s="96">
        <f t="shared" si="3"/>
        <v>50</v>
      </c>
      <c r="I29" s="96">
        <f t="shared" si="4"/>
        <v>50</v>
      </c>
      <c r="K29" s="95">
        <f>CapitalCommonStart+Credit!K10</f>
        <v>50</v>
      </c>
      <c r="L29" s="95">
        <f>K29+Credit!L10</f>
        <v>50</v>
      </c>
      <c r="M29" s="95">
        <f>L29+Credit!M10</f>
        <v>50</v>
      </c>
      <c r="N29" s="95">
        <f>M29+Credit!N10</f>
        <v>50</v>
      </c>
      <c r="O29" s="95">
        <f>N29+Credit!O10</f>
        <v>50</v>
      </c>
      <c r="P29" s="95">
        <f>O29+Credit!P10</f>
        <v>50</v>
      </c>
      <c r="Q29" s="95">
        <f>P29+Credit!Q10</f>
        <v>50</v>
      </c>
      <c r="R29" s="95">
        <f>Q29+Credit!R10</f>
        <v>50</v>
      </c>
      <c r="S29" s="95">
        <f>R29+Credit!S10</f>
        <v>50</v>
      </c>
      <c r="T29" s="95">
        <f>S29+Credit!T10</f>
        <v>50</v>
      </c>
      <c r="U29" s="95">
        <f>T29+Credit!U10</f>
        <v>50</v>
      </c>
      <c r="V29" s="96">
        <f>U29+Credit!V10</f>
        <v>50</v>
      </c>
      <c r="W29" s="94">
        <f>V29+Credit!W10</f>
        <v>50</v>
      </c>
      <c r="X29" s="95">
        <f>W29+Credit!X10</f>
        <v>50</v>
      </c>
      <c r="Y29" s="95">
        <f>X29+Credit!Y10</f>
        <v>50</v>
      </c>
      <c r="Z29" s="95">
        <f>Y29+Credit!Z10</f>
        <v>50</v>
      </c>
      <c r="AA29" s="95">
        <f>Z29+Credit!AA10</f>
        <v>50</v>
      </c>
      <c r="AB29" s="95">
        <f>AA29+Credit!AB10</f>
        <v>50</v>
      </c>
      <c r="AC29" s="95">
        <f>AB29+Credit!AC10</f>
        <v>50</v>
      </c>
      <c r="AD29" s="95">
        <f>AC29+Credit!AD10</f>
        <v>50</v>
      </c>
      <c r="AE29" s="95">
        <f>AD29+Credit!AE10</f>
        <v>50</v>
      </c>
      <c r="AF29" s="95">
        <f>AE29+Credit!AF10</f>
        <v>50</v>
      </c>
      <c r="AG29" s="95">
        <f>AF29+Credit!AG10</f>
        <v>50</v>
      </c>
      <c r="AH29" s="96">
        <f>AG29+Credit!AH10</f>
        <v>50</v>
      </c>
      <c r="AI29" s="94">
        <f>AH29+Credit!AI10</f>
        <v>50</v>
      </c>
      <c r="AJ29" s="95">
        <f>AI29+Credit!AJ10</f>
        <v>50</v>
      </c>
      <c r="AK29" s="95">
        <f>AJ29+Credit!AK10</f>
        <v>50</v>
      </c>
      <c r="AL29" s="95">
        <f>AK29+Credit!AL10</f>
        <v>50</v>
      </c>
      <c r="AM29" s="95">
        <f>AL29+Credit!AM10</f>
        <v>50</v>
      </c>
      <c r="AN29" s="95">
        <f>AM29+Credit!AN10</f>
        <v>50</v>
      </c>
      <c r="AO29" s="95">
        <f>AN29+Credit!AO10</f>
        <v>50</v>
      </c>
      <c r="AP29" s="95">
        <f>AO29+Credit!AP10</f>
        <v>50</v>
      </c>
      <c r="AQ29" s="95">
        <f>AP29+Credit!AQ10</f>
        <v>50</v>
      </c>
      <c r="AR29" s="95">
        <f>AQ29+Credit!AR10</f>
        <v>50</v>
      </c>
      <c r="AS29" s="95">
        <f>AR29+Credit!AS10</f>
        <v>50</v>
      </c>
      <c r="AT29" s="96">
        <f>AS29+Credit!AT10</f>
        <v>50</v>
      </c>
      <c r="AU29" s="94">
        <f>AT29+Credit!AU10</f>
        <v>50</v>
      </c>
      <c r="AV29" s="95">
        <f>AU29+Credit!AV10</f>
        <v>50</v>
      </c>
      <c r="AW29" s="95">
        <f>AV29+Credit!AW10</f>
        <v>50</v>
      </c>
      <c r="AX29" s="95">
        <f>AW29+Credit!AX10</f>
        <v>50</v>
      </c>
      <c r="AY29" s="95">
        <f>AX29+Credit!AY10</f>
        <v>50</v>
      </c>
      <c r="AZ29" s="95">
        <f>AY29+Credit!AZ10</f>
        <v>50</v>
      </c>
      <c r="BA29" s="95">
        <f>AZ29+Credit!BA10</f>
        <v>50</v>
      </c>
      <c r="BB29" s="95">
        <f>BA29+Credit!BB10</f>
        <v>50</v>
      </c>
      <c r="BC29" s="95">
        <f>BB29+Credit!BC10</f>
        <v>50</v>
      </c>
      <c r="BD29" s="95">
        <f>BC29+Credit!BD10</f>
        <v>50</v>
      </c>
      <c r="BE29" s="95">
        <f>BD29+Credit!BE10</f>
        <v>50</v>
      </c>
      <c r="BF29" s="96">
        <f>BE29+Credit!BF10</f>
        <v>50</v>
      </c>
      <c r="BG29" s="94">
        <f>BF29+Credit!BG10</f>
        <v>50</v>
      </c>
      <c r="BH29" s="95">
        <f>BG29+Credit!BH10</f>
        <v>50</v>
      </c>
      <c r="BI29" s="95">
        <f>BH29+Credit!BI10</f>
        <v>50</v>
      </c>
      <c r="BJ29" s="95">
        <f>BI29+Credit!BJ10</f>
        <v>50</v>
      </c>
      <c r="BK29" s="95">
        <f>BJ29+Credit!BK10</f>
        <v>50</v>
      </c>
      <c r="BL29" s="95">
        <f>BK29+Credit!BL10</f>
        <v>50</v>
      </c>
      <c r="BM29" s="95">
        <f>BL29+Credit!BM10</f>
        <v>50</v>
      </c>
      <c r="BN29" s="95">
        <f>BM29+Credit!BN10</f>
        <v>50</v>
      </c>
      <c r="BO29" s="95">
        <f>BN29+Credit!BO10</f>
        <v>50</v>
      </c>
      <c r="BP29" s="95">
        <f>BO29+Credit!BP10</f>
        <v>50</v>
      </c>
      <c r="BQ29" s="95">
        <f>BP29+Credit!BQ10</f>
        <v>50</v>
      </c>
      <c r="BR29" s="96">
        <f>BQ29+Credit!BR10</f>
        <v>50</v>
      </c>
    </row>
    <row r="30" spans="1:70" s="93" customFormat="1" x14ac:dyDescent="0.3">
      <c r="A30" s="6"/>
      <c r="B30" s="97" t="s">
        <v>119</v>
      </c>
      <c r="E30" s="96">
        <f t="shared" ca="1" si="0"/>
        <v>-565.68803779991083</v>
      </c>
      <c r="F30" s="96">
        <f t="shared" ca="1" si="1"/>
        <v>-260.26974022964475</v>
      </c>
      <c r="G30" s="96">
        <f t="shared" ca="1" si="2"/>
        <v>113.60856246076472</v>
      </c>
      <c r="H30" s="96">
        <f t="shared" ca="1" si="3"/>
        <v>765.18944080057304</v>
      </c>
      <c r="I30" s="96">
        <f t="shared" ca="1" si="4"/>
        <v>1619.1292616515793</v>
      </c>
      <c r="K30" s="94">
        <f ca="1">Income!K33</f>
        <v>-125.42622885744881</v>
      </c>
      <c r="L30" s="94">
        <f ca="1">Income!L33</f>
        <v>-236.13010060341193</v>
      </c>
      <c r="M30" s="94">
        <f ca="1">Income!M33</f>
        <v>-332.13945411644545</v>
      </c>
      <c r="N30" s="94">
        <f ca="1">Income!N33</f>
        <v>-380.0103034856034</v>
      </c>
      <c r="O30" s="94">
        <f ca="1">Income!O33</f>
        <v>-416.83589299840423</v>
      </c>
      <c r="P30" s="94">
        <f ca="1">Income!P33</f>
        <v>-497.43804106075601</v>
      </c>
      <c r="Q30" s="94">
        <f ca="1">Income!Q33</f>
        <v>-522.68310134957051</v>
      </c>
      <c r="R30" s="94">
        <f ca="1">Income!R33</f>
        <v>-548.2600373693416</v>
      </c>
      <c r="S30" s="94">
        <f ca="1">Income!S33</f>
        <v>-564.85388082344195</v>
      </c>
      <c r="T30" s="94">
        <f ca="1">Income!T33</f>
        <v>-573.87213643528901</v>
      </c>
      <c r="U30" s="94">
        <f ca="1">Income!U33</f>
        <v>-563.45225174002826</v>
      </c>
      <c r="V30" s="96">
        <f ca="1">Income!V33</f>
        <v>-565.68803779991083</v>
      </c>
      <c r="W30" s="94">
        <f ca="1">Income!W33</f>
        <v>-542.83226900227874</v>
      </c>
      <c r="X30" s="94">
        <f ca="1">Income!X33</f>
        <v>-514.00821492496743</v>
      </c>
      <c r="Y30" s="94">
        <f ca="1">Income!Y33</f>
        <v>-494.45282451997736</v>
      </c>
      <c r="Z30" s="94">
        <f ca="1">Income!Z33</f>
        <v>-470.04119333011067</v>
      </c>
      <c r="AA30" s="94">
        <f ca="1">Income!AA33</f>
        <v>-441.31452141865464</v>
      </c>
      <c r="AB30" s="94">
        <f ca="1">Income!AB33</f>
        <v>-515.97831858469613</v>
      </c>
      <c r="AC30" s="94">
        <f ca="1">Income!AC33</f>
        <v>-490.52923469332808</v>
      </c>
      <c r="AD30" s="94">
        <f ca="1">Income!AD33</f>
        <v>-412.47069657419718</v>
      </c>
      <c r="AE30" s="94">
        <f ca="1">Income!AE33</f>
        <v>-375.30527105132069</v>
      </c>
      <c r="AF30" s="94">
        <f ca="1">Income!AF33</f>
        <v>-337.57885715094267</v>
      </c>
      <c r="AG30" s="94">
        <f ca="1">Income!AG33</f>
        <v>-299.2484655756266</v>
      </c>
      <c r="AH30" s="96">
        <f ca="1">Income!AH33</f>
        <v>-260.26974022964475</v>
      </c>
      <c r="AI30" s="94">
        <f ca="1">Income!AI33</f>
        <v>-220.59692566923636</v>
      </c>
      <c r="AJ30" s="94">
        <f ca="1">Income!AJ33</f>
        <v>-205.12176506328913</v>
      </c>
      <c r="AK30" s="94">
        <f ca="1">Income!AK33</f>
        <v>-187.60030902797155</v>
      </c>
      <c r="AL30" s="94">
        <f ca="1">Income!AL33</f>
        <v>-167.96756958361442</v>
      </c>
      <c r="AM30" s="94">
        <f ca="1">Income!AM33</f>
        <v>-148.88592694690959</v>
      </c>
      <c r="AN30" s="94">
        <f ca="1">Income!AN33</f>
        <v>-116.87088083281466</v>
      </c>
      <c r="AO30" s="94">
        <f ca="1">Income!AO33</f>
        <v>-83.057055467956644</v>
      </c>
      <c r="AP30" s="94">
        <f ca="1">Income!AP33</f>
        <v>-47.427075196232877</v>
      </c>
      <c r="AQ30" s="94">
        <f ca="1">Income!AQ33</f>
        <v>-9.9633756092652419</v>
      </c>
      <c r="AR30" s="94">
        <f ca="1">Income!AR33</f>
        <v>29.351798731580701</v>
      </c>
      <c r="AS30" s="94">
        <f ca="1">Income!AS33</f>
        <v>70.536396603423981</v>
      </c>
      <c r="AT30" s="96">
        <f ca="1">Income!AT33</f>
        <v>113.60856246076472</v>
      </c>
      <c r="AU30" s="94">
        <f ca="1">Income!AU33</f>
        <v>158.58663880547653</v>
      </c>
      <c r="AV30" s="94">
        <f ca="1">Income!AV33</f>
        <v>205.48916858832845</v>
      </c>
      <c r="AW30" s="94">
        <f ca="1">Income!AW33</f>
        <v>254.33489764247645</v>
      </c>
      <c r="AX30" s="94">
        <f ca="1">Income!AX33</f>
        <v>308.14277714936912</v>
      </c>
      <c r="AY30" s="94">
        <f ca="1">Income!AY33</f>
        <v>360.94171613752263</v>
      </c>
      <c r="AZ30" s="94">
        <f ca="1">Income!AZ33</f>
        <v>412.66957010488795</v>
      </c>
      <c r="BA30" s="94">
        <f ca="1">Income!BA33</f>
        <v>466.14953649184548</v>
      </c>
      <c r="BB30" s="94">
        <f ca="1">Income!BB33</f>
        <v>521.40106117903315</v>
      </c>
      <c r="BC30" s="94">
        <f ca="1">Income!BC33</f>
        <v>580.64277304915686</v>
      </c>
      <c r="BD30" s="94">
        <f ca="1">Income!BD33</f>
        <v>641.01558737282346</v>
      </c>
      <c r="BE30" s="94">
        <f ca="1">Income!BE33</f>
        <v>702.52821988701862</v>
      </c>
      <c r="BF30" s="96">
        <f ca="1">Income!BF33</f>
        <v>765.18944080057304</v>
      </c>
      <c r="BG30" s="94">
        <f ca="1">Income!BG33</f>
        <v>829.00807510266304</v>
      </c>
      <c r="BH30" s="94">
        <f ca="1">Income!BH33</f>
        <v>893.99300287297274</v>
      </c>
      <c r="BI30" s="94">
        <f ca="1">Income!BI33</f>
        <v>960.15315959352642</v>
      </c>
      <c r="BJ30" s="94">
        <f ca="1">Income!BJ33</f>
        <v>1027.4975364621994</v>
      </c>
      <c r="BK30" s="94">
        <f ca="1">Income!BK33</f>
        <v>1096.0351807079178</v>
      </c>
      <c r="BL30" s="94">
        <f ca="1">Income!BL33</f>
        <v>1165.7751959075531</v>
      </c>
      <c r="BM30" s="94">
        <f ca="1">Income!BM33</f>
        <v>1245.726742304523</v>
      </c>
      <c r="BN30" s="94">
        <f ca="1">Income!BN33</f>
        <v>1317.9282871291068</v>
      </c>
      <c r="BO30" s="94">
        <f ca="1">Income!BO33</f>
        <v>1391.3599499829832</v>
      </c>
      <c r="BP30" s="94">
        <f ca="1">Income!BP33</f>
        <v>1466.0310633469537</v>
      </c>
      <c r="BQ30" s="94">
        <f ca="1">Income!BQ33</f>
        <v>1541.9510176610061</v>
      </c>
      <c r="BR30" s="96">
        <f ca="1">Income!BR33</f>
        <v>1619.1292616515793</v>
      </c>
    </row>
    <row r="31" spans="1:70" s="102" customFormat="1" x14ac:dyDescent="0.3">
      <c r="A31" s="14"/>
      <c r="B31" s="126" t="s">
        <v>11</v>
      </c>
      <c r="E31" s="127">
        <f t="shared" ca="1" si="0"/>
        <v>-405.68803779991083</v>
      </c>
      <c r="F31" s="127">
        <f t="shared" ca="1" si="1"/>
        <v>-100.26974022964475</v>
      </c>
      <c r="G31" s="127">
        <f t="shared" ca="1" si="2"/>
        <v>273.60856246076469</v>
      </c>
      <c r="H31" s="127">
        <f t="shared" ca="1" si="3"/>
        <v>925.18944080057304</v>
      </c>
      <c r="I31" s="127">
        <f t="shared" ca="1" si="4"/>
        <v>1779.1292616515793</v>
      </c>
      <c r="K31" s="285">
        <f t="shared" ref="K31:AP31" ca="1" si="16">SUM(K28:K30)</f>
        <v>24.573771142551195</v>
      </c>
      <c r="L31" s="285">
        <f t="shared" ca="1" si="16"/>
        <v>-86.130100603411933</v>
      </c>
      <c r="M31" s="285">
        <f t="shared" ca="1" si="16"/>
        <v>-182.13945411644545</v>
      </c>
      <c r="N31" s="285">
        <f ca="1">SUM(N28:N30)</f>
        <v>-230.0103034856034</v>
      </c>
      <c r="O31" s="285">
        <f t="shared" ca="1" si="16"/>
        <v>-266.83589299840423</v>
      </c>
      <c r="P31" s="285">
        <f t="shared" ca="1" si="16"/>
        <v>-337.43804106075601</v>
      </c>
      <c r="Q31" s="285">
        <f t="shared" ca="1" si="16"/>
        <v>-362.68310134957051</v>
      </c>
      <c r="R31" s="285">
        <f t="shared" ca="1" si="16"/>
        <v>-388.2600373693416</v>
      </c>
      <c r="S31" s="285">
        <f t="shared" ca="1" si="16"/>
        <v>-404.85388082344195</v>
      </c>
      <c r="T31" s="285">
        <f t="shared" ca="1" si="16"/>
        <v>-413.87213643528901</v>
      </c>
      <c r="U31" s="285">
        <f t="shared" ca="1" si="16"/>
        <v>-403.45225174002826</v>
      </c>
      <c r="V31" s="128">
        <f t="shared" ca="1" si="16"/>
        <v>-405.68803779991083</v>
      </c>
      <c r="W31" s="285">
        <f t="shared" ca="1" si="16"/>
        <v>-382.83226900227874</v>
      </c>
      <c r="X31" s="285">
        <f t="shared" ca="1" si="16"/>
        <v>-354.00821492496743</v>
      </c>
      <c r="Y31" s="285">
        <f t="shared" ca="1" si="16"/>
        <v>-334.45282451997736</v>
      </c>
      <c r="Z31" s="285">
        <f t="shared" ca="1" si="16"/>
        <v>-310.04119333011067</v>
      </c>
      <c r="AA31" s="285">
        <f t="shared" ca="1" si="16"/>
        <v>-281.31452141865464</v>
      </c>
      <c r="AB31" s="285">
        <f t="shared" ca="1" si="16"/>
        <v>-355.97831858469613</v>
      </c>
      <c r="AC31" s="285">
        <f t="shared" ca="1" si="16"/>
        <v>-330.52923469332808</v>
      </c>
      <c r="AD31" s="285">
        <f t="shared" ca="1" si="16"/>
        <v>-252.47069657419718</v>
      </c>
      <c r="AE31" s="285">
        <f t="shared" ca="1" si="16"/>
        <v>-215.30527105132069</v>
      </c>
      <c r="AF31" s="285">
        <f t="shared" ca="1" si="16"/>
        <v>-177.57885715094267</v>
      </c>
      <c r="AG31" s="285">
        <f t="shared" ca="1" si="16"/>
        <v>-139.2484655756266</v>
      </c>
      <c r="AH31" s="128">
        <f t="shared" ca="1" si="16"/>
        <v>-100.26974022964475</v>
      </c>
      <c r="AI31" s="285">
        <f t="shared" ca="1" si="16"/>
        <v>-60.596925669236356</v>
      </c>
      <c r="AJ31" s="285">
        <f t="shared" ca="1" si="16"/>
        <v>-45.121765063289132</v>
      </c>
      <c r="AK31" s="285">
        <f t="shared" ca="1" si="16"/>
        <v>-27.600309027971548</v>
      </c>
      <c r="AL31" s="285">
        <f t="shared" ca="1" si="16"/>
        <v>-7.96756958361442</v>
      </c>
      <c r="AM31" s="285">
        <f t="shared" ca="1" si="16"/>
        <v>11.114073053090408</v>
      </c>
      <c r="AN31" s="285">
        <f t="shared" ca="1" si="16"/>
        <v>43.129119167185337</v>
      </c>
      <c r="AO31" s="285">
        <f t="shared" ca="1" si="16"/>
        <v>76.942944532043356</v>
      </c>
      <c r="AP31" s="285">
        <f t="shared" ca="1" si="16"/>
        <v>112.57292480376712</v>
      </c>
      <c r="AQ31" s="285">
        <f t="shared" ref="AQ31:BR31" ca="1" si="17">SUM(AQ28:AQ30)</f>
        <v>150.03662439073474</v>
      </c>
      <c r="AR31" s="285">
        <f t="shared" ca="1" si="17"/>
        <v>189.35179873158069</v>
      </c>
      <c r="AS31" s="285">
        <f t="shared" ca="1" si="17"/>
        <v>230.53639660342398</v>
      </c>
      <c r="AT31" s="128">
        <f t="shared" ca="1" si="17"/>
        <v>273.60856246076469</v>
      </c>
      <c r="AU31" s="285">
        <f t="shared" ca="1" si="17"/>
        <v>318.58663880547653</v>
      </c>
      <c r="AV31" s="285">
        <f t="shared" ca="1" si="17"/>
        <v>365.48916858832843</v>
      </c>
      <c r="AW31" s="285">
        <f t="shared" ca="1" si="17"/>
        <v>414.33489764247645</v>
      </c>
      <c r="AX31" s="285">
        <f t="shared" ca="1" si="17"/>
        <v>468.14277714936912</v>
      </c>
      <c r="AY31" s="285">
        <f t="shared" ca="1" si="17"/>
        <v>520.94171613752269</v>
      </c>
      <c r="AZ31" s="285">
        <f t="shared" ca="1" si="17"/>
        <v>572.66957010488795</v>
      </c>
      <c r="BA31" s="285">
        <f t="shared" ca="1" si="17"/>
        <v>626.14953649184554</v>
      </c>
      <c r="BB31" s="285">
        <f t="shared" ca="1" si="17"/>
        <v>681.40106117903315</v>
      </c>
      <c r="BC31" s="285">
        <f t="shared" ca="1" si="17"/>
        <v>740.64277304915686</v>
      </c>
      <c r="BD31" s="285">
        <f t="shared" ca="1" si="17"/>
        <v>801.01558737282346</v>
      </c>
      <c r="BE31" s="285">
        <f t="shared" ca="1" si="17"/>
        <v>862.52821988701862</v>
      </c>
      <c r="BF31" s="128">
        <f t="shared" ca="1" si="17"/>
        <v>925.18944080057304</v>
      </c>
      <c r="BG31" s="285">
        <f t="shared" ca="1" si="17"/>
        <v>989.00807510266304</v>
      </c>
      <c r="BH31" s="285">
        <f t="shared" ca="1" si="17"/>
        <v>1053.9930028729727</v>
      </c>
      <c r="BI31" s="285">
        <f t="shared" ca="1" si="17"/>
        <v>1120.1531595935264</v>
      </c>
      <c r="BJ31" s="285">
        <f t="shared" ca="1" si="17"/>
        <v>1187.4975364621994</v>
      </c>
      <c r="BK31" s="285">
        <f t="shared" ca="1" si="17"/>
        <v>1256.0351807079178</v>
      </c>
      <c r="BL31" s="285">
        <f t="shared" ca="1" si="17"/>
        <v>1325.7751959075531</v>
      </c>
      <c r="BM31" s="285">
        <f t="shared" ca="1" si="17"/>
        <v>1405.726742304523</v>
      </c>
      <c r="BN31" s="285">
        <f t="shared" ca="1" si="17"/>
        <v>1477.9282871291068</v>
      </c>
      <c r="BO31" s="285">
        <f t="shared" ca="1" si="17"/>
        <v>1551.3599499829832</v>
      </c>
      <c r="BP31" s="285">
        <f t="shared" ca="1" si="17"/>
        <v>1626.0310633469537</v>
      </c>
      <c r="BQ31" s="285">
        <f t="shared" ca="1" si="17"/>
        <v>1701.9510176610061</v>
      </c>
      <c r="BR31" s="128">
        <f t="shared" ca="1" si="17"/>
        <v>1779.1292616515793</v>
      </c>
    </row>
    <row r="32" spans="1:70" x14ac:dyDescent="0.3">
      <c r="J32" s="102"/>
    </row>
    <row r="33" spans="1:70" x14ac:dyDescent="0.3">
      <c r="A33" s="129"/>
      <c r="B33" s="286" t="s">
        <v>133</v>
      </c>
      <c r="C33" s="188"/>
      <c r="D33" s="188"/>
      <c r="E33" s="258" t="str">
        <f t="shared" ref="E33:I33" ca="1" si="18">IF(ABS(E20-E26-E31)&lt;0.0001,"✔","✕")</f>
        <v>✔</v>
      </c>
      <c r="F33" s="258" t="str">
        <f t="shared" ca="1" si="18"/>
        <v>✔</v>
      </c>
      <c r="G33" s="258" t="str">
        <f t="shared" ca="1" si="18"/>
        <v>✔</v>
      </c>
      <c r="H33" s="258" t="str">
        <f t="shared" ca="1" si="18"/>
        <v>✔</v>
      </c>
      <c r="I33" s="258" t="str">
        <f t="shared" ca="1" si="18"/>
        <v>✔</v>
      </c>
      <c r="J33" s="258"/>
      <c r="K33" s="258" t="str">
        <f ca="1">IF(ABS(K20-K26-K31)&lt;0.0001,"✔","✕")</f>
        <v>✔</v>
      </c>
      <c r="L33" s="258" t="str">
        <f t="shared" ref="L33:BR33" ca="1" si="19">IF(ABS(L20-L26-L31)&lt;0.0001,"✔","✕")</f>
        <v>✔</v>
      </c>
      <c r="M33" s="258" t="str">
        <f t="shared" ca="1" si="19"/>
        <v>✔</v>
      </c>
      <c r="N33" s="258" t="str">
        <f t="shared" ca="1" si="19"/>
        <v>✔</v>
      </c>
      <c r="O33" s="258" t="str">
        <f t="shared" ca="1" si="19"/>
        <v>✔</v>
      </c>
      <c r="P33" s="258" t="str">
        <f t="shared" ca="1" si="19"/>
        <v>✔</v>
      </c>
      <c r="Q33" s="258" t="str">
        <f t="shared" ca="1" si="19"/>
        <v>✔</v>
      </c>
      <c r="R33" s="258" t="str">
        <f t="shared" ca="1" si="19"/>
        <v>✔</v>
      </c>
      <c r="S33" s="258" t="str">
        <f t="shared" ca="1" si="19"/>
        <v>✔</v>
      </c>
      <c r="T33" s="258" t="str">
        <f t="shared" ca="1" si="19"/>
        <v>✔</v>
      </c>
      <c r="U33" s="258" t="str">
        <f t="shared" ca="1" si="19"/>
        <v>✔</v>
      </c>
      <c r="V33" s="258" t="str">
        <f t="shared" ca="1" si="19"/>
        <v>✔</v>
      </c>
      <c r="W33" s="258" t="str">
        <f t="shared" ca="1" si="19"/>
        <v>✔</v>
      </c>
      <c r="X33" s="258" t="str">
        <f t="shared" ca="1" si="19"/>
        <v>✔</v>
      </c>
      <c r="Y33" s="258" t="str">
        <f t="shared" ca="1" si="19"/>
        <v>✔</v>
      </c>
      <c r="Z33" s="258" t="str">
        <f t="shared" ca="1" si="19"/>
        <v>✔</v>
      </c>
      <c r="AA33" s="258" t="str">
        <f t="shared" ca="1" si="19"/>
        <v>✔</v>
      </c>
      <c r="AB33" s="258" t="str">
        <f t="shared" ca="1" si="19"/>
        <v>✔</v>
      </c>
      <c r="AC33" s="258" t="str">
        <f t="shared" ca="1" si="19"/>
        <v>✔</v>
      </c>
      <c r="AD33" s="258" t="str">
        <f t="shared" ca="1" si="19"/>
        <v>✔</v>
      </c>
      <c r="AE33" s="258" t="str">
        <f t="shared" ca="1" si="19"/>
        <v>✔</v>
      </c>
      <c r="AF33" s="258" t="str">
        <f t="shared" ca="1" si="19"/>
        <v>✔</v>
      </c>
      <c r="AG33" s="258" t="str">
        <f t="shared" ca="1" si="19"/>
        <v>✔</v>
      </c>
      <c r="AH33" s="258" t="str">
        <f t="shared" ca="1" si="19"/>
        <v>✔</v>
      </c>
      <c r="AI33" s="258" t="str">
        <f t="shared" ca="1" si="19"/>
        <v>✔</v>
      </c>
      <c r="AJ33" s="258" t="str">
        <f t="shared" ca="1" si="19"/>
        <v>✔</v>
      </c>
      <c r="AK33" s="258" t="str">
        <f t="shared" ca="1" si="19"/>
        <v>✔</v>
      </c>
      <c r="AL33" s="258" t="str">
        <f t="shared" ca="1" si="19"/>
        <v>✔</v>
      </c>
      <c r="AM33" s="258" t="str">
        <f t="shared" ca="1" si="19"/>
        <v>✔</v>
      </c>
      <c r="AN33" s="258" t="str">
        <f t="shared" ca="1" si="19"/>
        <v>✔</v>
      </c>
      <c r="AO33" s="258" t="str">
        <f t="shared" ca="1" si="19"/>
        <v>✔</v>
      </c>
      <c r="AP33" s="258" t="str">
        <f t="shared" ca="1" si="19"/>
        <v>✔</v>
      </c>
      <c r="AQ33" s="258" t="str">
        <f t="shared" ca="1" si="19"/>
        <v>✔</v>
      </c>
      <c r="AR33" s="258" t="str">
        <f t="shared" ca="1" si="19"/>
        <v>✔</v>
      </c>
      <c r="AS33" s="258" t="str">
        <f t="shared" ca="1" si="19"/>
        <v>✔</v>
      </c>
      <c r="AT33" s="258" t="str">
        <f t="shared" ca="1" si="19"/>
        <v>✔</v>
      </c>
      <c r="AU33" s="258" t="str">
        <f t="shared" ca="1" si="19"/>
        <v>✔</v>
      </c>
      <c r="AV33" s="258" t="str">
        <f t="shared" ca="1" si="19"/>
        <v>✔</v>
      </c>
      <c r="AW33" s="258" t="str">
        <f t="shared" ca="1" si="19"/>
        <v>✔</v>
      </c>
      <c r="AX33" s="258" t="str">
        <f t="shared" ca="1" si="19"/>
        <v>✔</v>
      </c>
      <c r="AY33" s="258" t="str">
        <f t="shared" ca="1" si="19"/>
        <v>✔</v>
      </c>
      <c r="AZ33" s="258" t="str">
        <f t="shared" ca="1" si="19"/>
        <v>✔</v>
      </c>
      <c r="BA33" s="258" t="str">
        <f t="shared" ca="1" si="19"/>
        <v>✔</v>
      </c>
      <c r="BB33" s="258" t="str">
        <f t="shared" ca="1" si="19"/>
        <v>✔</v>
      </c>
      <c r="BC33" s="258" t="str">
        <f t="shared" ca="1" si="19"/>
        <v>✔</v>
      </c>
      <c r="BD33" s="258" t="str">
        <f t="shared" ca="1" si="19"/>
        <v>✔</v>
      </c>
      <c r="BE33" s="258" t="str">
        <f t="shared" ca="1" si="19"/>
        <v>✔</v>
      </c>
      <c r="BF33" s="258" t="str">
        <f t="shared" ca="1" si="19"/>
        <v>✔</v>
      </c>
      <c r="BG33" s="258" t="str">
        <f t="shared" ca="1" si="19"/>
        <v>✔</v>
      </c>
      <c r="BH33" s="258" t="str">
        <f t="shared" ca="1" si="19"/>
        <v>✔</v>
      </c>
      <c r="BI33" s="258" t="str">
        <f t="shared" ca="1" si="19"/>
        <v>✔</v>
      </c>
      <c r="BJ33" s="258" t="str">
        <f t="shared" ca="1" si="19"/>
        <v>✔</v>
      </c>
      <c r="BK33" s="258" t="str">
        <f t="shared" ca="1" si="19"/>
        <v>✔</v>
      </c>
      <c r="BL33" s="258" t="str">
        <f t="shared" ca="1" si="19"/>
        <v>✔</v>
      </c>
      <c r="BM33" s="258" t="str">
        <f t="shared" ca="1" si="19"/>
        <v>✔</v>
      </c>
      <c r="BN33" s="258" t="str">
        <f t="shared" ca="1" si="19"/>
        <v>✔</v>
      </c>
      <c r="BO33" s="258" t="str">
        <f t="shared" ca="1" si="19"/>
        <v>✔</v>
      </c>
      <c r="BP33" s="258" t="str">
        <f t="shared" ca="1" si="19"/>
        <v>✔</v>
      </c>
      <c r="BQ33" s="258" t="str">
        <f t="shared" ca="1" si="19"/>
        <v>✔</v>
      </c>
      <c r="BR33" s="258" t="str">
        <f t="shared" ca="1" si="19"/>
        <v>✔</v>
      </c>
    </row>
  </sheetData>
  <sheetProtection algorithmName="SHA-512" hashValue="+tv/3DGjzOWi9mr5p9XFbCI8OSSCyrwDDo12oVaz1ZxPd6ZJI74f9P/0E2FQuXMpAX0/ppgtz+eMWD85yTb0hw==" saltValue="2RKQjLou7lVqRWgq+d2P4A==" spinCount="100000" sheet="1" objects="1" scenarios="1" selectLockedCells="1" selectUnlockedCells="1"/>
  <conditionalFormatting sqref="E33:BR33">
    <cfRule type="expression" dxfId="1" priority="1">
      <formula>IF(E33="✕",TRUE,FALSE)</formula>
    </cfRule>
  </conditionalFormatting>
  <printOptions horizontalCentered="1"/>
  <pageMargins left="0.5" right="0.5" top="0.75" bottom="0.5" header="0.3" footer="0.55000000000000004"/>
  <pageSetup fitToWidth="5" orientation="landscape" r:id="rId1"/>
  <headerFooter scaleWithDoc="0" alignWithMargins="0">
    <oddFooter>&amp;L&amp;10Pro Forma Balance Sheet, p.&amp;P of &amp;N&amp;R&amp;10Updated &amp;D</oddFooter>
  </headerFooter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C9631-BDBD-42CD-BE67-A51F52B103A9}">
  <sheetPr>
    <tabColor rgb="FFBDD7EE"/>
    <pageSetUpPr fitToPage="1"/>
  </sheetPr>
  <dimension ref="A1:BX38"/>
  <sheetViews>
    <sheetView showGridLines="0" showRowColHeaders="0" showZeros="0" zoomScaleNormal="100" zoomScaleSheetLayoutView="100" workbookViewId="0">
      <pane xSplit="3" ySplit="3" topLeftCell="D4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ColWidth="6.6640625" defaultRowHeight="13.2" x14ac:dyDescent="0.3"/>
  <cols>
    <col min="1" max="1" width="3" style="3" customWidth="1"/>
    <col min="2" max="2" width="21.6640625" style="4" customWidth="1"/>
    <col min="3" max="4" width="0.6640625" style="5" customWidth="1"/>
    <col min="5" max="9" width="8.33203125" style="5" customWidth="1"/>
    <col min="10" max="10" width="2.21875" style="5" customWidth="1"/>
    <col min="11" max="70" width="8.33203125" style="5" customWidth="1"/>
    <col min="71" max="16384" width="6.6640625" style="5"/>
  </cols>
  <sheetData>
    <row r="1" spans="1:70" s="3" customFormat="1" ht="10.199999999999999" x14ac:dyDescent="0.2">
      <c r="A1" s="1" t="s">
        <v>0</v>
      </c>
      <c r="B1" s="118"/>
    </row>
    <row r="2" spans="1:70" ht="22.8" customHeight="1" x14ac:dyDescent="0.3"/>
    <row r="3" spans="1:70" s="111" customFormat="1" ht="21" x14ac:dyDescent="0.4">
      <c r="B3" s="110" t="s">
        <v>134</v>
      </c>
      <c r="C3" s="186"/>
      <c r="D3" s="186"/>
      <c r="E3" s="165">
        <v>1</v>
      </c>
      <c r="F3" s="165">
        <v>2</v>
      </c>
      <c r="G3" s="165">
        <v>3</v>
      </c>
      <c r="H3" s="165">
        <v>4</v>
      </c>
      <c r="I3" s="165">
        <v>5</v>
      </c>
      <c r="J3" s="187"/>
      <c r="K3" s="166">
        <v>1</v>
      </c>
      <c r="L3" s="166">
        <v>2</v>
      </c>
      <c r="M3" s="166">
        <v>3</v>
      </c>
      <c r="N3" s="166">
        <v>4</v>
      </c>
      <c r="O3" s="166">
        <v>5</v>
      </c>
      <c r="P3" s="166">
        <v>6</v>
      </c>
      <c r="Q3" s="166">
        <v>7</v>
      </c>
      <c r="R3" s="166">
        <v>8</v>
      </c>
      <c r="S3" s="166">
        <v>9</v>
      </c>
      <c r="T3" s="166">
        <v>10</v>
      </c>
      <c r="U3" s="166">
        <v>11</v>
      </c>
      <c r="V3" s="167">
        <v>12</v>
      </c>
      <c r="W3" s="166">
        <v>13</v>
      </c>
      <c r="X3" s="166">
        <v>14</v>
      </c>
      <c r="Y3" s="166">
        <v>15</v>
      </c>
      <c r="Z3" s="166">
        <v>16</v>
      </c>
      <c r="AA3" s="166">
        <v>17</v>
      </c>
      <c r="AB3" s="166">
        <v>18</v>
      </c>
      <c r="AC3" s="166">
        <v>19</v>
      </c>
      <c r="AD3" s="166">
        <v>20</v>
      </c>
      <c r="AE3" s="166">
        <v>21</v>
      </c>
      <c r="AF3" s="166">
        <v>22</v>
      </c>
      <c r="AG3" s="166">
        <v>23</v>
      </c>
      <c r="AH3" s="167">
        <v>24</v>
      </c>
      <c r="AI3" s="166">
        <v>25</v>
      </c>
      <c r="AJ3" s="166">
        <v>26</v>
      </c>
      <c r="AK3" s="166">
        <v>27</v>
      </c>
      <c r="AL3" s="166">
        <v>28</v>
      </c>
      <c r="AM3" s="166">
        <v>29</v>
      </c>
      <c r="AN3" s="166">
        <v>30</v>
      </c>
      <c r="AO3" s="166">
        <v>31</v>
      </c>
      <c r="AP3" s="166">
        <v>32</v>
      </c>
      <c r="AQ3" s="166">
        <v>33</v>
      </c>
      <c r="AR3" s="166">
        <v>34</v>
      </c>
      <c r="AS3" s="166">
        <v>35</v>
      </c>
      <c r="AT3" s="167">
        <v>36</v>
      </c>
      <c r="AU3" s="166">
        <v>37</v>
      </c>
      <c r="AV3" s="166">
        <v>38</v>
      </c>
      <c r="AW3" s="166">
        <v>39</v>
      </c>
      <c r="AX3" s="166">
        <v>40</v>
      </c>
      <c r="AY3" s="166">
        <v>41</v>
      </c>
      <c r="AZ3" s="166">
        <v>42</v>
      </c>
      <c r="BA3" s="166">
        <v>43</v>
      </c>
      <c r="BB3" s="166">
        <v>44</v>
      </c>
      <c r="BC3" s="166">
        <v>45</v>
      </c>
      <c r="BD3" s="166">
        <v>46</v>
      </c>
      <c r="BE3" s="166">
        <v>47</v>
      </c>
      <c r="BF3" s="167">
        <v>48</v>
      </c>
      <c r="BG3" s="166">
        <v>49</v>
      </c>
      <c r="BH3" s="166">
        <v>50</v>
      </c>
      <c r="BI3" s="166">
        <v>51</v>
      </c>
      <c r="BJ3" s="166">
        <v>52</v>
      </c>
      <c r="BK3" s="166">
        <v>53</v>
      </c>
      <c r="BL3" s="166">
        <v>54</v>
      </c>
      <c r="BM3" s="166">
        <v>55</v>
      </c>
      <c r="BN3" s="166">
        <v>56</v>
      </c>
      <c r="BO3" s="166">
        <v>57</v>
      </c>
      <c r="BP3" s="166">
        <v>58</v>
      </c>
      <c r="BQ3" s="166">
        <v>59</v>
      </c>
      <c r="BR3" s="167">
        <v>60</v>
      </c>
    </row>
    <row r="4" spans="1:70" ht="6" customHeight="1" x14ac:dyDescent="0.3"/>
    <row r="5" spans="1:70" s="105" customFormat="1" x14ac:dyDescent="0.3">
      <c r="A5" s="6"/>
      <c r="B5" s="92" t="s">
        <v>117</v>
      </c>
      <c r="C5" s="94"/>
      <c r="D5" s="94"/>
      <c r="E5" s="96">
        <f t="shared" ref="E5:E22" ca="1" si="0">SUM(K5:V5)</f>
        <v>-515.68803779991094</v>
      </c>
      <c r="F5" s="96">
        <f t="shared" ref="F5:F22" ca="1" si="1">SUM(W5:AH5)</f>
        <v>405.41829757026596</v>
      </c>
      <c r="G5" s="96">
        <f t="shared" ref="G5:G22" ca="1" si="2">SUM(AI5:AT5)</f>
        <v>373.87830269040938</v>
      </c>
      <c r="H5" s="96">
        <f t="shared" ref="H5:H22" ca="1" si="3">SUM(AU5:BF5)</f>
        <v>651.58087833980824</v>
      </c>
      <c r="I5" s="96">
        <f t="shared" ref="I5:I22" ca="1" si="4">SUM(BG5:BR5)</f>
        <v>853.93982085100652</v>
      </c>
      <c r="J5" s="94"/>
      <c r="K5" s="94">
        <f ca="1">Income!K30</f>
        <v>-125.42622885744881</v>
      </c>
      <c r="L5" s="94">
        <f ca="1">Income!L30</f>
        <v>-110.70387174596313</v>
      </c>
      <c r="M5" s="94">
        <f ca="1">Income!M30</f>
        <v>-96.009353513033545</v>
      </c>
      <c r="N5" s="94">
        <f ca="1">Income!N30</f>
        <v>-47.870849369157966</v>
      </c>
      <c r="O5" s="94">
        <f ca="1">Income!O30</f>
        <v>-36.825589512800804</v>
      </c>
      <c r="P5" s="94">
        <f ca="1">Income!P30</f>
        <v>-30.602148062351766</v>
      </c>
      <c r="Q5" s="94">
        <f ca="1">Income!Q30</f>
        <v>-25.245060288814525</v>
      </c>
      <c r="R5" s="94">
        <f ca="1">Income!R30</f>
        <v>-25.57693601977115</v>
      </c>
      <c r="S5" s="94">
        <f ca="1">Income!S30</f>
        <v>-16.593843454100355</v>
      </c>
      <c r="T5" s="94">
        <f ca="1">Income!T30</f>
        <v>-9.0182556118471027</v>
      </c>
      <c r="U5" s="94">
        <f ca="1">Income!U30</f>
        <v>10.419884695260743</v>
      </c>
      <c r="V5" s="96">
        <f ca="1">Income!V30</f>
        <v>-2.2357860598825638</v>
      </c>
      <c r="W5" s="94">
        <f ca="1">Income!W30</f>
        <v>22.855768797632134</v>
      </c>
      <c r="X5" s="94">
        <f ca="1">Income!X30</f>
        <v>28.824054077311281</v>
      </c>
      <c r="Y5" s="94">
        <f ca="1">Income!Y30</f>
        <v>19.555390404990071</v>
      </c>
      <c r="Z5" s="94">
        <f ca="1">Income!Z30</f>
        <v>24.411631189866689</v>
      </c>
      <c r="AA5" s="94">
        <f ca="1">Income!AA30</f>
        <v>28.726671911456055</v>
      </c>
      <c r="AB5" s="94">
        <f ca="1">Income!AB30</f>
        <v>25.336202833958449</v>
      </c>
      <c r="AC5" s="94">
        <f ca="1">Income!AC30</f>
        <v>25.44908389136803</v>
      </c>
      <c r="AD5" s="94">
        <f ca="1">Income!AD30</f>
        <v>78.058538119130901</v>
      </c>
      <c r="AE5" s="94">
        <f ca="1">Income!AE30</f>
        <v>37.165425522876475</v>
      </c>
      <c r="AF5" s="94">
        <f ca="1">Income!AF30</f>
        <v>37.726413900378034</v>
      </c>
      <c r="AG5" s="94">
        <f ca="1">Income!AG30</f>
        <v>38.330391575316078</v>
      </c>
      <c r="AH5" s="96">
        <f ca="1">Income!AH30</f>
        <v>38.978725345981843</v>
      </c>
      <c r="AI5" s="94">
        <f ca="1">Income!AI30</f>
        <v>39.672814560408391</v>
      </c>
      <c r="AJ5" s="94">
        <f ca="1">Income!AJ30</f>
        <v>15.475160605947218</v>
      </c>
      <c r="AK5" s="94">
        <f ca="1">Income!AK30</f>
        <v>17.521456035317598</v>
      </c>
      <c r="AL5" s="94">
        <f ca="1">Income!AL30</f>
        <v>19.632739444357121</v>
      </c>
      <c r="AM5" s="94">
        <f ca="1">Income!AM30</f>
        <v>19.081642636704814</v>
      </c>
      <c r="AN5" s="94">
        <f ca="1">Income!AN30</f>
        <v>32.015046114094929</v>
      </c>
      <c r="AO5" s="94">
        <f ca="1">Income!AO30</f>
        <v>33.813825364858012</v>
      </c>
      <c r="AP5" s="94">
        <f ca="1">Income!AP30</f>
        <v>35.629980271723767</v>
      </c>
      <c r="AQ5" s="94">
        <f ca="1">Income!AQ30</f>
        <v>37.463699586967635</v>
      </c>
      <c r="AR5" s="94">
        <f ca="1">Income!AR30</f>
        <v>39.315174340845942</v>
      </c>
      <c r="AS5" s="94">
        <f ca="1">Income!AS30</f>
        <v>41.184597871843287</v>
      </c>
      <c r="AT5" s="96">
        <f ca="1">Income!AT30</f>
        <v>43.072165857340735</v>
      </c>
      <c r="AU5" s="94">
        <f ca="1">Income!AU30</f>
        <v>44.978076344711802</v>
      </c>
      <c r="AV5" s="94">
        <f ca="1">Income!AV30</f>
        <v>46.902529782851921</v>
      </c>
      <c r="AW5" s="94">
        <f ca="1">Income!AW30</f>
        <v>48.845729054148009</v>
      </c>
      <c r="AX5" s="94">
        <f ca="1">Income!AX30</f>
        <v>53.807879506892661</v>
      </c>
      <c r="AY5" s="94">
        <f ca="1">Income!AY30</f>
        <v>52.798938988153516</v>
      </c>
      <c r="AZ5" s="94">
        <f ca="1">Income!AZ30</f>
        <v>51.727853967365292</v>
      </c>
      <c r="BA5" s="94">
        <f ca="1">Income!BA30</f>
        <v>53.47996638695755</v>
      </c>
      <c r="BB5" s="94">
        <f ca="1">Income!BB30</f>
        <v>55.251524687187711</v>
      </c>
      <c r="BC5" s="94">
        <f ca="1">Income!BC30</f>
        <v>59.241711870123694</v>
      </c>
      <c r="BD5" s="94">
        <f ca="1">Income!BD30</f>
        <v>60.372814323666553</v>
      </c>
      <c r="BE5" s="94">
        <f ca="1">Income!BE30</f>
        <v>61.512632514195168</v>
      </c>
      <c r="BF5" s="96">
        <f ca="1">Income!BF30</f>
        <v>62.661220913554381</v>
      </c>
      <c r="BG5" s="94">
        <f ca="1">Income!BG30</f>
        <v>63.818634302089954</v>
      </c>
      <c r="BH5" s="94">
        <f ca="1">Income!BH30</f>
        <v>64.984927770309639</v>
      </c>
      <c r="BI5" s="94">
        <f ca="1">Income!BI30</f>
        <v>66.16015672055363</v>
      </c>
      <c r="BJ5" s="94">
        <f ca="1">Income!BJ30</f>
        <v>67.34437686867301</v>
      </c>
      <c r="BK5" s="94">
        <f ca="1">Income!BK30</f>
        <v>68.53764424571844</v>
      </c>
      <c r="BL5" s="94">
        <f ca="1">Income!BL30</f>
        <v>69.740015199635309</v>
      </c>
      <c r="BM5" s="94">
        <f ca="1">Income!BM30</f>
        <v>79.95154639696996</v>
      </c>
      <c r="BN5" s="94">
        <f ca="1">Income!BN30</f>
        <v>72.20154482458392</v>
      </c>
      <c r="BO5" s="94">
        <f ca="1">Income!BO30</f>
        <v>73.431662853876304</v>
      </c>
      <c r="BP5" s="94">
        <f ca="1">Income!BP30</f>
        <v>74.671113363970647</v>
      </c>
      <c r="BQ5" s="94">
        <f ca="1">Income!BQ30</f>
        <v>75.919954314052433</v>
      </c>
      <c r="BR5" s="96">
        <f ca="1">Income!BR30</f>
        <v>77.178243990573208</v>
      </c>
    </row>
    <row r="6" spans="1:70" s="105" customFormat="1" x14ac:dyDescent="0.3">
      <c r="A6" s="6"/>
      <c r="B6" s="92" t="s">
        <v>112</v>
      </c>
      <c r="C6" s="94"/>
      <c r="D6" s="94"/>
      <c r="E6" s="96">
        <f t="shared" si="0"/>
        <v>223.33333333333334</v>
      </c>
      <c r="F6" s="96">
        <f t="shared" si="1"/>
        <v>84.074074074074076</v>
      </c>
      <c r="G6" s="96">
        <f t="shared" si="2"/>
        <v>0</v>
      </c>
      <c r="H6" s="96">
        <f t="shared" si="3"/>
        <v>0</v>
      </c>
      <c r="I6" s="96">
        <f t="shared" si="4"/>
        <v>0</v>
      </c>
      <c r="J6" s="94"/>
      <c r="K6" s="94">
        <f>Income!K23</f>
        <v>4</v>
      </c>
      <c r="L6" s="94">
        <f>Income!L23</f>
        <v>4</v>
      </c>
      <c r="M6" s="94">
        <f>Income!M23</f>
        <v>4</v>
      </c>
      <c r="N6" s="94">
        <f>Income!N23</f>
        <v>13.25925925925926</v>
      </c>
      <c r="O6" s="94">
        <f>Income!O23</f>
        <v>13.25925925925926</v>
      </c>
      <c r="P6" s="94">
        <f>Income!P23</f>
        <v>20.402116402116402</v>
      </c>
      <c r="Q6" s="94">
        <f>Income!Q23</f>
        <v>20.402116402116402</v>
      </c>
      <c r="R6" s="94">
        <f>Income!R23</f>
        <v>37.06878306878307</v>
      </c>
      <c r="S6" s="94">
        <f>Income!S23</f>
        <v>37.06878306878307</v>
      </c>
      <c r="T6" s="94">
        <f>Income!T23</f>
        <v>37.06878306878307</v>
      </c>
      <c r="U6" s="94">
        <f>Income!U23</f>
        <v>16.402116402116402</v>
      </c>
      <c r="V6" s="96">
        <f>Income!V23</f>
        <v>16.402116402116402</v>
      </c>
      <c r="W6" s="94">
        <f>Income!W23</f>
        <v>9.2592592592592595</v>
      </c>
      <c r="X6" s="94">
        <f>Income!X23</f>
        <v>9.2592592592592595</v>
      </c>
      <c r="Y6" s="94">
        <f>Income!Y23</f>
        <v>9.2592592592592595</v>
      </c>
      <c r="Z6" s="94">
        <f>Income!Z23</f>
        <v>9.2592592592592595</v>
      </c>
      <c r="AA6" s="94">
        <f>Income!AA23</f>
        <v>9.2592592592592595</v>
      </c>
      <c r="AB6" s="94">
        <f>Income!AB23</f>
        <v>12.592592592592593</v>
      </c>
      <c r="AC6" s="94">
        <f>Income!AC23</f>
        <v>12.592592592592593</v>
      </c>
      <c r="AD6" s="94">
        <f>Income!AD23</f>
        <v>12.592592592592593</v>
      </c>
      <c r="AE6" s="94">
        <f>Income!AE23</f>
        <v>0</v>
      </c>
      <c r="AF6" s="94">
        <f>Income!AF23</f>
        <v>0</v>
      </c>
      <c r="AG6" s="94">
        <f>Income!AG23</f>
        <v>0</v>
      </c>
      <c r="AH6" s="96">
        <f>Income!AH23</f>
        <v>0</v>
      </c>
      <c r="AI6" s="94">
        <f>Income!AI23</f>
        <v>0</v>
      </c>
      <c r="AJ6" s="94">
        <f>Income!AJ23</f>
        <v>0</v>
      </c>
      <c r="AK6" s="94">
        <f>Income!AK23</f>
        <v>0</v>
      </c>
      <c r="AL6" s="94">
        <f>Income!AL23</f>
        <v>0</v>
      </c>
      <c r="AM6" s="94">
        <f>Income!AM23</f>
        <v>0</v>
      </c>
      <c r="AN6" s="94">
        <f>Income!AN23</f>
        <v>0</v>
      </c>
      <c r="AO6" s="94">
        <f>Income!AO23</f>
        <v>0</v>
      </c>
      <c r="AP6" s="94">
        <f>Income!AP23</f>
        <v>0</v>
      </c>
      <c r="AQ6" s="94">
        <f>Income!AQ23</f>
        <v>0</v>
      </c>
      <c r="AR6" s="94">
        <f>Income!AR23</f>
        <v>0</v>
      </c>
      <c r="AS6" s="94">
        <f>Income!AS23</f>
        <v>0</v>
      </c>
      <c r="AT6" s="96">
        <f>Income!AT23</f>
        <v>0</v>
      </c>
      <c r="AU6" s="94">
        <f>Income!AU23</f>
        <v>0</v>
      </c>
      <c r="AV6" s="94">
        <f>Income!AV23</f>
        <v>0</v>
      </c>
      <c r="AW6" s="94">
        <f>Income!AW23</f>
        <v>0</v>
      </c>
      <c r="AX6" s="94">
        <f>Income!AX23</f>
        <v>0</v>
      </c>
      <c r="AY6" s="94">
        <f>Income!AY23</f>
        <v>0</v>
      </c>
      <c r="AZ6" s="94">
        <f>Income!AZ23</f>
        <v>0</v>
      </c>
      <c r="BA6" s="94">
        <f>Income!BA23</f>
        <v>0</v>
      </c>
      <c r="BB6" s="94">
        <f>Income!BB23</f>
        <v>0</v>
      </c>
      <c r="BC6" s="94">
        <f>Income!BC23</f>
        <v>0</v>
      </c>
      <c r="BD6" s="94">
        <f>Income!BD23</f>
        <v>0</v>
      </c>
      <c r="BE6" s="94">
        <f>Income!BE23</f>
        <v>0</v>
      </c>
      <c r="BF6" s="96">
        <f>Income!BF23</f>
        <v>0</v>
      </c>
      <c r="BG6" s="94">
        <f>Income!BG23</f>
        <v>0</v>
      </c>
      <c r="BH6" s="94">
        <f>Income!BH23</f>
        <v>0</v>
      </c>
      <c r="BI6" s="94">
        <f>Income!BI23</f>
        <v>0</v>
      </c>
      <c r="BJ6" s="94">
        <f>Income!BJ23</f>
        <v>0</v>
      </c>
      <c r="BK6" s="94">
        <f>Income!BK23</f>
        <v>0</v>
      </c>
      <c r="BL6" s="94">
        <f>Income!BL23</f>
        <v>0</v>
      </c>
      <c r="BM6" s="94">
        <f>Income!BM23</f>
        <v>0</v>
      </c>
      <c r="BN6" s="94">
        <f>Income!BN23</f>
        <v>0</v>
      </c>
      <c r="BO6" s="94">
        <f>Income!BO23</f>
        <v>0</v>
      </c>
      <c r="BP6" s="94">
        <f>Income!BP23</f>
        <v>0</v>
      </c>
      <c r="BQ6" s="94">
        <f>Income!BQ23</f>
        <v>0</v>
      </c>
      <c r="BR6" s="96">
        <f>Income!BR23</f>
        <v>0</v>
      </c>
    </row>
    <row r="7" spans="1:70" s="105" customFormat="1" x14ac:dyDescent="0.3">
      <c r="A7" s="6"/>
      <c r="B7" s="137" t="s">
        <v>195</v>
      </c>
      <c r="C7" s="94"/>
      <c r="D7" s="94"/>
      <c r="E7" s="96">
        <f t="shared" si="0"/>
        <v>32</v>
      </c>
      <c r="F7" s="96">
        <f t="shared" si="1"/>
        <v>-82.407407407407419</v>
      </c>
      <c r="G7" s="96">
        <f t="shared" si="2"/>
        <v>0</v>
      </c>
      <c r="H7" s="96">
        <f t="shared" si="3"/>
        <v>-5</v>
      </c>
      <c r="I7" s="96">
        <f t="shared" si="4"/>
        <v>-15</v>
      </c>
      <c r="J7" s="94"/>
      <c r="K7" s="94">
        <f>-Income!K26</f>
        <v>0</v>
      </c>
      <c r="L7" s="94">
        <f>-Income!L26</f>
        <v>0</v>
      </c>
      <c r="M7" s="94">
        <f>-Income!M26</f>
        <v>0</v>
      </c>
      <c r="N7" s="94">
        <f>-Income!N26</f>
        <v>0</v>
      </c>
      <c r="O7" s="94">
        <f>-Income!O26</f>
        <v>0</v>
      </c>
      <c r="P7" s="94">
        <f>-Income!P26</f>
        <v>0</v>
      </c>
      <c r="Q7" s="94">
        <f>-Income!Q26</f>
        <v>0</v>
      </c>
      <c r="R7" s="94">
        <f>-Income!R26</f>
        <v>0</v>
      </c>
      <c r="S7" s="94">
        <f>-Income!S26</f>
        <v>0</v>
      </c>
      <c r="T7" s="94">
        <f>-Income!T26</f>
        <v>0</v>
      </c>
      <c r="U7" s="94">
        <f>-Income!U26</f>
        <v>0</v>
      </c>
      <c r="V7" s="96">
        <f>-Income!V26</f>
        <v>32</v>
      </c>
      <c r="W7" s="94">
        <f>-Income!W26</f>
        <v>0</v>
      </c>
      <c r="X7" s="94">
        <f>-Income!X26</f>
        <v>0</v>
      </c>
      <c r="Y7" s="94">
        <f>-Income!Y26</f>
        <v>0</v>
      </c>
      <c r="Z7" s="94">
        <f>-Income!Z26</f>
        <v>0</v>
      </c>
      <c r="AA7" s="94">
        <f>-Income!AA26</f>
        <v>0</v>
      </c>
      <c r="AB7" s="94">
        <f>-Income!AB26</f>
        <v>0</v>
      </c>
      <c r="AC7" s="94">
        <f>-Income!AC26</f>
        <v>0</v>
      </c>
      <c r="AD7" s="94">
        <f>-Income!AD26</f>
        <v>-82.407407407407419</v>
      </c>
      <c r="AE7" s="94">
        <f>-Income!AE26</f>
        <v>0</v>
      </c>
      <c r="AF7" s="94">
        <f>-Income!AF26</f>
        <v>0</v>
      </c>
      <c r="AG7" s="94">
        <f>-Income!AG26</f>
        <v>0</v>
      </c>
      <c r="AH7" s="96">
        <f>-Income!AH26</f>
        <v>0</v>
      </c>
      <c r="AI7" s="94">
        <f>-Income!AI26</f>
        <v>0</v>
      </c>
      <c r="AJ7" s="94">
        <f>-Income!AJ26</f>
        <v>0</v>
      </c>
      <c r="AK7" s="94">
        <f>-Income!AK26</f>
        <v>0</v>
      </c>
      <c r="AL7" s="94">
        <f>-Income!AL26</f>
        <v>0</v>
      </c>
      <c r="AM7" s="94">
        <f>-Income!AM26</f>
        <v>0</v>
      </c>
      <c r="AN7" s="94">
        <f>-Income!AN26</f>
        <v>0</v>
      </c>
      <c r="AO7" s="94">
        <f>-Income!AO26</f>
        <v>0</v>
      </c>
      <c r="AP7" s="94">
        <f>-Income!AP26</f>
        <v>0</v>
      </c>
      <c r="AQ7" s="94">
        <f>-Income!AQ26</f>
        <v>0</v>
      </c>
      <c r="AR7" s="94">
        <f>-Income!AR26</f>
        <v>0</v>
      </c>
      <c r="AS7" s="94">
        <f>-Income!AS26</f>
        <v>0</v>
      </c>
      <c r="AT7" s="96">
        <f>-Income!AT26</f>
        <v>0</v>
      </c>
      <c r="AU7" s="94">
        <f>-Income!AU26</f>
        <v>0</v>
      </c>
      <c r="AV7" s="94">
        <f>-Income!AV26</f>
        <v>0</v>
      </c>
      <c r="AW7" s="94">
        <f>-Income!AW26</f>
        <v>0</v>
      </c>
      <c r="AX7" s="94">
        <f>-Income!AX26</f>
        <v>-5</v>
      </c>
      <c r="AY7" s="94">
        <f>-Income!AY26</f>
        <v>0</v>
      </c>
      <c r="AZ7" s="94">
        <f>-Income!AZ26</f>
        <v>0</v>
      </c>
      <c r="BA7" s="94">
        <f>-Income!BA26</f>
        <v>0</v>
      </c>
      <c r="BB7" s="94">
        <f>-Income!BB26</f>
        <v>0</v>
      </c>
      <c r="BC7" s="94">
        <f>-Income!BC26</f>
        <v>0</v>
      </c>
      <c r="BD7" s="94">
        <f>-Income!BD26</f>
        <v>0</v>
      </c>
      <c r="BE7" s="94">
        <f>-Income!BE26</f>
        <v>0</v>
      </c>
      <c r="BF7" s="96">
        <f>-Income!BF26</f>
        <v>0</v>
      </c>
      <c r="BG7" s="94">
        <f>-Income!BG26</f>
        <v>0</v>
      </c>
      <c r="BH7" s="94">
        <f>-Income!BH26</f>
        <v>0</v>
      </c>
      <c r="BI7" s="94">
        <f>-Income!BI26</f>
        <v>0</v>
      </c>
      <c r="BJ7" s="94">
        <f>-Income!BJ26</f>
        <v>0</v>
      </c>
      <c r="BK7" s="94">
        <f>-Income!BK26</f>
        <v>0</v>
      </c>
      <c r="BL7" s="94">
        <f>-Income!BL26</f>
        <v>0</v>
      </c>
      <c r="BM7" s="94">
        <f>-Income!BM26</f>
        <v>-15</v>
      </c>
      <c r="BN7" s="94">
        <f>-Income!BN26</f>
        <v>0</v>
      </c>
      <c r="BO7" s="94">
        <f>-Income!BO26</f>
        <v>0</v>
      </c>
      <c r="BP7" s="94">
        <f>-Income!BP26</f>
        <v>0</v>
      </c>
      <c r="BQ7" s="94">
        <f>-Income!BQ26</f>
        <v>0</v>
      </c>
      <c r="BR7" s="96">
        <f>-Income!BR26</f>
        <v>0</v>
      </c>
    </row>
    <row r="8" spans="1:70" s="105" customFormat="1" x14ac:dyDescent="0.3">
      <c r="A8" s="6"/>
      <c r="B8" s="114" t="s">
        <v>216</v>
      </c>
      <c r="C8" s="94"/>
      <c r="D8" s="94"/>
      <c r="E8" s="136"/>
      <c r="F8" s="136"/>
      <c r="G8" s="136"/>
      <c r="H8" s="136"/>
      <c r="I8" s="136"/>
      <c r="J8" s="94"/>
      <c r="K8" s="113">
        <f ca="1">-Loans!K25</f>
        <v>-2256.7112683076189</v>
      </c>
      <c r="L8" s="113">
        <f ca="1">-Loans!L25+Loans!K25</f>
        <v>-2151.1869219007508</v>
      </c>
      <c r="M8" s="113">
        <f ca="1">-Loans!M25+Loans!L25</f>
        <v>-2043.5080180056284</v>
      </c>
      <c r="N8" s="113">
        <f ca="1">-Loans!N25+Loans!M25</f>
        <v>-1175.8749148645547</v>
      </c>
      <c r="O8" s="113">
        <f ca="1">-Loans!O25+Loans!N25</f>
        <v>-1105.2343279400893</v>
      </c>
      <c r="P8" s="113">
        <f ca="1">-Loans!P25+Loans!O25</f>
        <v>-1036.6811643339679</v>
      </c>
      <c r="Q8" s="113">
        <f ca="1">-Loans!Q25+Loans!P25</f>
        <v>-966.74788898335646</v>
      </c>
      <c r="R8" s="113">
        <f ca="1">-Loans!R25+Loans!Q25</f>
        <v>-895.41171903722716</v>
      </c>
      <c r="S8" s="113">
        <f ca="1">-Loans!S25+Loans!R25</f>
        <v>-822.64951602437941</v>
      </c>
      <c r="T8" s="113">
        <f ca="1">-Loans!T25+Loans!S25</f>
        <v>-746.36774904072627</v>
      </c>
      <c r="U8" s="113">
        <f ca="1">-Loans!U25+Loans!T25</f>
        <v>-668.6728356243766</v>
      </c>
      <c r="V8" s="227">
        <f ca="1">-Loans!V25+Loans!U25</f>
        <v>-589.54325311320827</v>
      </c>
      <c r="W8" s="113">
        <f ca="1">-Loans!W25+Loans!V25</f>
        <v>-512.10074328694827</v>
      </c>
      <c r="X8" s="113">
        <f ca="1">-Loans!X25+Loans!W25</f>
        <v>-430.76089394126029</v>
      </c>
      <c r="Y8" s="113">
        <f ca="1">-Loans!Y25+Loans!X25</f>
        <v>-347.89132459871507</v>
      </c>
      <c r="Z8" s="113">
        <f ca="1">-Loans!Z25+Loans!Y25</f>
        <v>-263.46805218470217</v>
      </c>
      <c r="AA8" s="113">
        <f ca="1">-Loans!AA25+Loans!Z25</f>
        <v>-177.46673746591659</v>
      </c>
      <c r="AB8" s="113">
        <f ca="1">-Loans!AB25+Loans!AA25</f>
        <v>-89.8626798505029</v>
      </c>
      <c r="AC8" s="113">
        <f ca="1">-Loans!AC25+Loans!AB25</f>
        <v>-89.931270165496244</v>
      </c>
      <c r="AD8" s="113">
        <f ca="1">-Loans!AD25+Loans!AC25</f>
        <v>-0.20571954148726945</v>
      </c>
      <c r="AE8" s="113">
        <f ca="1">-Loans!AE25+Loans!AD25</f>
        <v>0.41325881256670982</v>
      </c>
      <c r="AF8" s="113">
        <f ca="1">-Loans!AF25+Loans!AE25</f>
        <v>0.97513424677345029</v>
      </c>
      <c r="AG8" s="113">
        <f ca="1">-Loans!AG25+Loans!AF25</f>
        <v>1.4777619242486253</v>
      </c>
      <c r="AH8" s="227">
        <f ca="1">-Loans!AH25+Loans!AG25</f>
        <v>1.9189443287395989</v>
      </c>
      <c r="AI8" s="113">
        <f ca="1">-Loans!AI25+Loans!AH25</f>
        <v>2.2964301658576005</v>
      </c>
      <c r="AJ8" s="113">
        <f ca="1">-Loans!AJ25+Loans!AI25</f>
        <v>44.084751226902881</v>
      </c>
      <c r="AK8" s="113">
        <f ca="1">-Loans!AK25+Loans!AJ25</f>
        <v>42.239895177495782</v>
      </c>
      <c r="AL8" s="113">
        <f ca="1">-Loans!AL25+Loans!AK25</f>
        <v>40.299514373618877</v>
      </c>
      <c r="AM8" s="113">
        <f ca="1">-Loans!AM25+Loans!AL25</f>
        <v>-23.316266279976844</v>
      </c>
      <c r="AN8" s="113">
        <f ca="1">-Loans!AN25+Loans!AM25</f>
        <v>22.668829377529619</v>
      </c>
      <c r="AO8" s="113">
        <f ca="1">-Loans!AO25+Loans!AN25</f>
        <v>21.285120092970828</v>
      </c>
      <c r="AP8" s="113">
        <f ca="1">-Loans!AP25+Loans!AO25</f>
        <v>19.885406870023871</v>
      </c>
      <c r="AQ8" s="113">
        <f ca="1">-Loans!AQ25+Loans!AP25</f>
        <v>18.469456894223185</v>
      </c>
      <c r="AR8" s="113">
        <f ca="1">-Loans!AR25+Loans!AQ25</f>
        <v>17.037034018030681</v>
      </c>
      <c r="AS8" s="113">
        <f ca="1">-Loans!AS25+Loans!AR25</f>
        <v>15.587898712887181</v>
      </c>
      <c r="AT8" s="227">
        <f ca="1">-Loans!AT25+Loans!AS25</f>
        <v>14.121808020590834</v>
      </c>
      <c r="AU8" s="113">
        <f ca="1">-Loans!AU25+Loans!AT25</f>
        <v>12.638515503947929</v>
      </c>
      <c r="AV8" s="113">
        <f ca="1">-Loans!AV25+Loans!AU25</f>
        <v>11.13777119675251</v>
      </c>
      <c r="AW8" s="113">
        <f ca="1">-Loans!AW25+Loans!AV25</f>
        <v>9.6193215529965528</v>
      </c>
      <c r="AX8" s="113">
        <f ca="1">-Loans!AX25+Loans!AW25</f>
        <v>8.0829093953943811</v>
      </c>
      <c r="AY8" s="113">
        <f ca="1">-Loans!AY25+Loans!AX25</f>
        <v>6.528273863144932</v>
      </c>
      <c r="AZ8" s="113">
        <f ca="1">-Loans!AZ25+Loans!AY25</f>
        <v>-96.40663558657252</v>
      </c>
      <c r="BA8" s="113">
        <f ca="1">-Loans!BA25+Loans!AZ25</f>
        <v>-97.795791878406817</v>
      </c>
      <c r="BB8" s="113">
        <f ca="1">-Loans!BB25+Loans!BA25</f>
        <v>-99.204280847452537</v>
      </c>
      <c r="BC8" s="113">
        <f ca="1">-Loans!BC25+Loans!BB25</f>
        <v>1.8619484430473676</v>
      </c>
      <c r="BD8" s="113">
        <f ca="1">-Loans!BD25+Loans!BC25</f>
        <v>1.7875150771360495</v>
      </c>
      <c r="BE8" s="113">
        <f ca="1">-Loans!BE25+Loans!BD25</f>
        <v>1.7127932874991529</v>
      </c>
      <c r="BF8" s="227">
        <f ca="1">-Loans!BF25+Loans!BE25</f>
        <v>1.6377815482774167</v>
      </c>
      <c r="BG8" s="113">
        <f ca="1">-Loans!BG25+Loans!BF25</f>
        <v>1.5624783260718687</v>
      </c>
      <c r="BH8" s="113">
        <f ca="1">-Loans!BH25+Loans!BG25</f>
        <v>1.4868820798819797</v>
      </c>
      <c r="BI8" s="113">
        <f ca="1">-Loans!BI25+Loans!BH25</f>
        <v>1.4109912611056643</v>
      </c>
      <c r="BJ8" s="113">
        <f ca="1">-Loans!BJ25+Loans!BI25</f>
        <v>1.3348043134556065</v>
      </c>
      <c r="BK8" s="113">
        <f ca="1">-Loans!BK25+Loans!BJ25</f>
        <v>1.258319672971993</v>
      </c>
      <c r="BL8" s="113">
        <f ca="1">-Loans!BL25+Loans!BK25</f>
        <v>1.1815357679533918</v>
      </c>
      <c r="BM8" s="113">
        <f ca="1">-Loans!BM25+Loans!BL25</f>
        <v>1.1044510189040011</v>
      </c>
      <c r="BN8" s="113">
        <f ca="1">-Loans!BN25+Loans!BM25</f>
        <v>1.0270638385482016</v>
      </c>
      <c r="BO8" s="113">
        <f ca="1">-Loans!BO25+Loans!BN25</f>
        <v>0.94937263171959785</v>
      </c>
      <c r="BP8" s="113">
        <f ca="1">-Loans!BP25+Loans!BO25</f>
        <v>0.87137579538648424</v>
      </c>
      <c r="BQ8" s="113">
        <f ca="1">-Loans!BQ25+Loans!BP25</f>
        <v>0.79307171856817149</v>
      </c>
      <c r="BR8" s="227">
        <f ca="1">-Loans!BR25+Loans!BQ25</f>
        <v>0.71445878232043469</v>
      </c>
    </row>
    <row r="9" spans="1:70" s="125" customFormat="1" x14ac:dyDescent="0.3">
      <c r="A9" s="14"/>
      <c r="B9" s="101" t="s">
        <v>153</v>
      </c>
      <c r="C9" s="93"/>
      <c r="D9" s="93"/>
      <c r="E9" s="102">
        <f t="shared" ca="1" si="0"/>
        <v>-14718.944281642462</v>
      </c>
      <c r="F9" s="102">
        <f t="shared" ca="1" si="1"/>
        <v>-1499.8173574857678</v>
      </c>
      <c r="G9" s="102">
        <f t="shared" ca="1" si="2"/>
        <v>608.53818134056382</v>
      </c>
      <c r="H9" s="102">
        <f t="shared" ca="1" si="3"/>
        <v>408.18099989557265</v>
      </c>
      <c r="I9" s="102">
        <f t="shared" ca="1" si="4"/>
        <v>852.63462605789391</v>
      </c>
      <c r="J9" s="102"/>
      <c r="K9" s="93">
        <f t="shared" ref="K9:AP9" ca="1" si="5">SUM(K5:K8)</f>
        <v>-2378.1374971650675</v>
      </c>
      <c r="L9" s="93">
        <f t="shared" ca="1" si="5"/>
        <v>-2257.890793646714</v>
      </c>
      <c r="M9" s="93">
        <f t="shared" ca="1" si="5"/>
        <v>-2135.517371518662</v>
      </c>
      <c r="N9" s="93">
        <f t="shared" ca="1" si="5"/>
        <v>-1210.4865049744535</v>
      </c>
      <c r="O9" s="93">
        <f t="shared" ca="1" si="5"/>
        <v>-1128.8006581936309</v>
      </c>
      <c r="P9" s="93">
        <f t="shared" ca="1" si="5"/>
        <v>-1046.8811959942032</v>
      </c>
      <c r="Q9" s="93">
        <f t="shared" ca="1" si="5"/>
        <v>-971.59083287005456</v>
      </c>
      <c r="R9" s="93">
        <f t="shared" ca="1" si="5"/>
        <v>-883.91987198821528</v>
      </c>
      <c r="S9" s="93">
        <f t="shared" ca="1" si="5"/>
        <v>-802.17457640969667</v>
      </c>
      <c r="T9" s="93">
        <f t="shared" ca="1" si="5"/>
        <v>-718.31722158379034</v>
      </c>
      <c r="U9" s="93">
        <f t="shared" ca="1" si="5"/>
        <v>-641.85083452699951</v>
      </c>
      <c r="V9" s="102">
        <f t="shared" ca="1" si="5"/>
        <v>-543.37692277097449</v>
      </c>
      <c r="W9" s="93">
        <f t="shared" ca="1" si="5"/>
        <v>-479.98571523005688</v>
      </c>
      <c r="X9" s="93">
        <f t="shared" ca="1" si="5"/>
        <v>-392.67758060468975</v>
      </c>
      <c r="Y9" s="93">
        <f t="shared" ca="1" si="5"/>
        <v>-319.07667493446576</v>
      </c>
      <c r="Z9" s="93">
        <f t="shared" ca="1" si="5"/>
        <v>-229.79716173557622</v>
      </c>
      <c r="AA9" s="93">
        <f t="shared" ca="1" si="5"/>
        <v>-139.48080629520126</v>
      </c>
      <c r="AB9" s="93">
        <f t="shared" ca="1" si="5"/>
        <v>-51.933884423951859</v>
      </c>
      <c r="AC9" s="93">
        <f t="shared" ca="1" si="5"/>
        <v>-51.889593681535622</v>
      </c>
      <c r="AD9" s="93">
        <f t="shared" ca="1" si="5"/>
        <v>8.0380037628288079</v>
      </c>
      <c r="AE9" s="93">
        <f t="shared" ca="1" si="5"/>
        <v>37.578684335443185</v>
      </c>
      <c r="AF9" s="93">
        <f t="shared" ca="1" si="5"/>
        <v>38.701548147151485</v>
      </c>
      <c r="AG9" s="93">
        <f t="shared" ca="1" si="5"/>
        <v>39.808153499564703</v>
      </c>
      <c r="AH9" s="102">
        <f t="shared" ca="1" si="5"/>
        <v>40.897669674721442</v>
      </c>
      <c r="AI9" s="93">
        <f t="shared" ca="1" si="5"/>
        <v>41.969244726265991</v>
      </c>
      <c r="AJ9" s="93">
        <f t="shared" ca="1" si="5"/>
        <v>59.559911832850098</v>
      </c>
      <c r="AK9" s="93">
        <f t="shared" ca="1" si="5"/>
        <v>59.761351212813381</v>
      </c>
      <c r="AL9" s="93">
        <f t="shared" ca="1" si="5"/>
        <v>59.932253817975997</v>
      </c>
      <c r="AM9" s="93">
        <f t="shared" ca="1" si="5"/>
        <v>-4.2346236432720303</v>
      </c>
      <c r="AN9" s="93">
        <f t="shared" ca="1" si="5"/>
        <v>54.683875491624548</v>
      </c>
      <c r="AO9" s="93">
        <f t="shared" ca="1" si="5"/>
        <v>55.09894545782884</v>
      </c>
      <c r="AP9" s="93">
        <f t="shared" ca="1" si="5"/>
        <v>55.515387141747638</v>
      </c>
      <c r="AQ9" s="93">
        <f t="shared" ref="AQ9:BR9" ca="1" si="6">SUM(AQ5:AQ8)</f>
        <v>55.933156481190821</v>
      </c>
      <c r="AR9" s="93">
        <f t="shared" ca="1" si="6"/>
        <v>56.352208358876624</v>
      </c>
      <c r="AS9" s="93">
        <f t="shared" ca="1" si="6"/>
        <v>56.772496584730469</v>
      </c>
      <c r="AT9" s="102">
        <f t="shared" ca="1" si="6"/>
        <v>57.193973877931569</v>
      </c>
      <c r="AU9" s="93">
        <f t="shared" ca="1" si="6"/>
        <v>57.616591848659731</v>
      </c>
      <c r="AV9" s="93">
        <f t="shared" ca="1" si="6"/>
        <v>58.040300979604432</v>
      </c>
      <c r="AW9" s="93">
        <f t="shared" ca="1" si="6"/>
        <v>58.465050607144562</v>
      </c>
      <c r="AX9" s="93">
        <f t="shared" ca="1" si="6"/>
        <v>56.890788902287042</v>
      </c>
      <c r="AY9" s="93">
        <f t="shared" ca="1" si="6"/>
        <v>59.327212851298448</v>
      </c>
      <c r="AZ9" s="93">
        <f t="shared" ca="1" si="6"/>
        <v>-44.678781619207228</v>
      </c>
      <c r="BA9" s="93">
        <f t="shared" ca="1" si="6"/>
        <v>-44.315825491449267</v>
      </c>
      <c r="BB9" s="93">
        <f t="shared" ca="1" si="6"/>
        <v>-43.952756160264826</v>
      </c>
      <c r="BC9" s="93">
        <f t="shared" ca="1" si="6"/>
        <v>61.103660313171062</v>
      </c>
      <c r="BD9" s="93">
        <f t="shared" ca="1" si="6"/>
        <v>62.160329400802603</v>
      </c>
      <c r="BE9" s="93">
        <f t="shared" ca="1" si="6"/>
        <v>63.225425801694321</v>
      </c>
      <c r="BF9" s="102">
        <f t="shared" ca="1" si="6"/>
        <v>64.299002461831805</v>
      </c>
      <c r="BG9" s="93">
        <f t="shared" ca="1" si="6"/>
        <v>65.381112628161816</v>
      </c>
      <c r="BH9" s="93">
        <f t="shared" ca="1" si="6"/>
        <v>66.471809850191619</v>
      </c>
      <c r="BI9" s="93">
        <f t="shared" ca="1" si="6"/>
        <v>67.571147981659294</v>
      </c>
      <c r="BJ9" s="93">
        <f t="shared" ca="1" si="6"/>
        <v>68.679181182128616</v>
      </c>
      <c r="BK9" s="93">
        <f t="shared" ca="1" si="6"/>
        <v>69.795963918690433</v>
      </c>
      <c r="BL9" s="93">
        <f t="shared" ca="1" si="6"/>
        <v>70.921550967588701</v>
      </c>
      <c r="BM9" s="93">
        <f t="shared" ca="1" si="6"/>
        <v>66.055997415873961</v>
      </c>
      <c r="BN9" s="93">
        <f t="shared" ca="1" si="6"/>
        <v>73.228608663132121</v>
      </c>
      <c r="BO9" s="93">
        <f t="shared" ca="1" si="6"/>
        <v>74.381035485595902</v>
      </c>
      <c r="BP9" s="93">
        <f t="shared" ca="1" si="6"/>
        <v>75.542489159357132</v>
      </c>
      <c r="BQ9" s="93">
        <f t="shared" ca="1" si="6"/>
        <v>76.713026032620604</v>
      </c>
      <c r="BR9" s="102">
        <f t="shared" ca="1" si="6"/>
        <v>77.892702772893642</v>
      </c>
    </row>
    <row r="10" spans="1:70" s="105" customFormat="1" ht="6" customHeight="1" x14ac:dyDescent="0.3">
      <c r="A10" s="6"/>
      <c r="B10" s="104"/>
    </row>
    <row r="11" spans="1:70" s="105" customFormat="1" x14ac:dyDescent="0.3">
      <c r="A11" s="6"/>
      <c r="B11" s="92" t="s">
        <v>154</v>
      </c>
      <c r="C11" s="94"/>
      <c r="D11" s="94"/>
      <c r="E11" s="96">
        <f t="shared" si="0"/>
        <v>-440</v>
      </c>
      <c r="F11" s="96">
        <f t="shared" si="1"/>
        <v>-10</v>
      </c>
      <c r="G11" s="96">
        <f t="shared" si="2"/>
        <v>0</v>
      </c>
      <c r="H11" s="96">
        <f t="shared" si="3"/>
        <v>0</v>
      </c>
      <c r="I11" s="96">
        <f t="shared" si="4"/>
        <v>0</v>
      </c>
      <c r="J11" s="94"/>
      <c r="K11" s="94">
        <f>-Credit!K33</f>
        <v>-40</v>
      </c>
      <c r="L11" s="94">
        <f>-Credit!L33</f>
        <v>0</v>
      </c>
      <c r="M11" s="94">
        <f>-Credit!M33</f>
        <v>0</v>
      </c>
      <c r="N11" s="94">
        <f>-Credit!N33</f>
        <v>-250</v>
      </c>
      <c r="O11" s="94">
        <f>-Credit!O33</f>
        <v>0</v>
      </c>
      <c r="P11" s="94">
        <f>-Credit!P33</f>
        <v>-100</v>
      </c>
      <c r="Q11" s="94">
        <f>-Credit!Q33</f>
        <v>0</v>
      </c>
      <c r="R11" s="94">
        <f>-Credit!R33</f>
        <v>-50</v>
      </c>
      <c r="S11" s="94">
        <f>-Credit!S33</f>
        <v>0</v>
      </c>
      <c r="T11" s="94">
        <f>-Credit!T33</f>
        <v>0</v>
      </c>
      <c r="U11" s="94">
        <f>-Credit!U33</f>
        <v>0</v>
      </c>
      <c r="V11" s="96">
        <f>-Credit!V33</f>
        <v>0</v>
      </c>
      <c r="W11" s="94">
        <f>-Credit!W33</f>
        <v>0</v>
      </c>
      <c r="X11" s="94">
        <f>-Credit!X33</f>
        <v>0</v>
      </c>
      <c r="Y11" s="94">
        <f>-Credit!Y33</f>
        <v>0</v>
      </c>
      <c r="Z11" s="94">
        <f>-Credit!Z33</f>
        <v>0</v>
      </c>
      <c r="AA11" s="94">
        <f>-Credit!AA33</f>
        <v>0</v>
      </c>
      <c r="AB11" s="94">
        <f>-Credit!AB33</f>
        <v>-10</v>
      </c>
      <c r="AC11" s="94">
        <f>-Credit!AC33</f>
        <v>0</v>
      </c>
      <c r="AD11" s="94">
        <f>-Credit!AD33</f>
        <v>0</v>
      </c>
      <c r="AE11" s="94">
        <f>-Credit!AE33</f>
        <v>0</v>
      </c>
      <c r="AF11" s="94">
        <f>-Credit!AF33</f>
        <v>0</v>
      </c>
      <c r="AG11" s="94">
        <f>-Credit!AG33</f>
        <v>0</v>
      </c>
      <c r="AH11" s="96">
        <f>-Credit!AH33</f>
        <v>0</v>
      </c>
      <c r="AI11" s="94">
        <f>-Credit!AI33</f>
        <v>0</v>
      </c>
      <c r="AJ11" s="94">
        <f>-Credit!AJ33</f>
        <v>0</v>
      </c>
      <c r="AK11" s="94">
        <f>-Credit!AK33</f>
        <v>0</v>
      </c>
      <c r="AL11" s="94">
        <f>-Credit!AL33</f>
        <v>0</v>
      </c>
      <c r="AM11" s="94">
        <f>-Credit!AM33</f>
        <v>0</v>
      </c>
      <c r="AN11" s="94">
        <f>-Credit!AN33</f>
        <v>0</v>
      </c>
      <c r="AO11" s="94">
        <f>-Credit!AO33</f>
        <v>0</v>
      </c>
      <c r="AP11" s="94">
        <f>-Credit!AP33</f>
        <v>0</v>
      </c>
      <c r="AQ11" s="94">
        <f>-Credit!AQ33</f>
        <v>0</v>
      </c>
      <c r="AR11" s="94">
        <f>-Credit!AR33</f>
        <v>0</v>
      </c>
      <c r="AS11" s="94">
        <f>-Credit!AS33</f>
        <v>0</v>
      </c>
      <c r="AT11" s="96">
        <f>-Credit!AT33</f>
        <v>0</v>
      </c>
      <c r="AU11" s="94">
        <f>-Credit!AU33</f>
        <v>0</v>
      </c>
      <c r="AV11" s="94">
        <f>-Credit!AV33</f>
        <v>0</v>
      </c>
      <c r="AW11" s="94">
        <f>-Credit!AW33</f>
        <v>0</v>
      </c>
      <c r="AX11" s="94">
        <f>-Credit!AX33</f>
        <v>0</v>
      </c>
      <c r="AY11" s="94">
        <f>-Credit!AY33</f>
        <v>0</v>
      </c>
      <c r="AZ11" s="94">
        <f>-Credit!AZ33</f>
        <v>0</v>
      </c>
      <c r="BA11" s="94">
        <f>-Credit!BA33</f>
        <v>0</v>
      </c>
      <c r="BB11" s="94">
        <f>-Credit!BB33</f>
        <v>0</v>
      </c>
      <c r="BC11" s="94">
        <f>-Credit!BC33</f>
        <v>0</v>
      </c>
      <c r="BD11" s="94">
        <f>-Credit!BD33</f>
        <v>0</v>
      </c>
      <c r="BE11" s="94">
        <f>-Credit!BE33</f>
        <v>0</v>
      </c>
      <c r="BF11" s="96">
        <f>-Credit!BF33</f>
        <v>0</v>
      </c>
      <c r="BG11" s="94">
        <f>-Credit!BG33</f>
        <v>0</v>
      </c>
      <c r="BH11" s="94">
        <f>-Credit!BH33</f>
        <v>0</v>
      </c>
      <c r="BI11" s="94">
        <f>-Credit!BI33</f>
        <v>0</v>
      </c>
      <c r="BJ11" s="94">
        <f>-Credit!BJ33</f>
        <v>0</v>
      </c>
      <c r="BK11" s="94">
        <f>-Credit!BK33</f>
        <v>0</v>
      </c>
      <c r="BL11" s="94">
        <f>-Credit!BL33</f>
        <v>0</v>
      </c>
      <c r="BM11" s="94">
        <f>-Credit!BM33</f>
        <v>0</v>
      </c>
      <c r="BN11" s="94">
        <f>-Credit!BN33</f>
        <v>0</v>
      </c>
      <c r="BO11" s="94">
        <f>-Credit!BO33</f>
        <v>0</v>
      </c>
      <c r="BP11" s="94">
        <f>-Credit!BP33</f>
        <v>0</v>
      </c>
      <c r="BQ11" s="94">
        <f>-Credit!BQ33</f>
        <v>0</v>
      </c>
      <c r="BR11" s="96">
        <f>-Credit!BR33</f>
        <v>0</v>
      </c>
    </row>
    <row r="12" spans="1:70" s="105" customFormat="1" x14ac:dyDescent="0.3">
      <c r="A12" s="6"/>
      <c r="B12" s="114" t="s">
        <v>155</v>
      </c>
      <c r="C12" s="94"/>
      <c r="D12" s="94"/>
      <c r="E12" s="136">
        <f t="shared" si="0"/>
        <v>18</v>
      </c>
      <c r="F12" s="136">
        <f t="shared" si="1"/>
        <v>175</v>
      </c>
      <c r="G12" s="136">
        <f t="shared" si="2"/>
        <v>0</v>
      </c>
      <c r="H12" s="136">
        <f t="shared" si="3"/>
        <v>5</v>
      </c>
      <c r="I12" s="136">
        <f t="shared" si="4"/>
        <v>15</v>
      </c>
      <c r="J12" s="94"/>
      <c r="K12" s="113">
        <f>Credit!K25</f>
        <v>0</v>
      </c>
      <c r="L12" s="113">
        <f>Credit!L25</f>
        <v>0</v>
      </c>
      <c r="M12" s="113">
        <f>Credit!M25</f>
        <v>0</v>
      </c>
      <c r="N12" s="113">
        <f>Credit!N25</f>
        <v>0</v>
      </c>
      <c r="O12" s="113">
        <f>Credit!O25</f>
        <v>0</v>
      </c>
      <c r="P12" s="113">
        <f>Credit!P25</f>
        <v>0</v>
      </c>
      <c r="Q12" s="113">
        <f>Credit!Q25</f>
        <v>0</v>
      </c>
      <c r="R12" s="113">
        <f>Credit!R25</f>
        <v>0</v>
      </c>
      <c r="S12" s="113">
        <f>Credit!S25</f>
        <v>0</v>
      </c>
      <c r="T12" s="113">
        <f>Credit!T25</f>
        <v>0</v>
      </c>
      <c r="U12" s="113">
        <f>Credit!U25</f>
        <v>0</v>
      </c>
      <c r="V12" s="227">
        <f>Credit!V25</f>
        <v>18</v>
      </c>
      <c r="W12" s="113">
        <f>Credit!W25</f>
        <v>0</v>
      </c>
      <c r="X12" s="113">
        <f>Credit!X25</f>
        <v>0</v>
      </c>
      <c r="Y12" s="113">
        <f>Credit!Y25</f>
        <v>0</v>
      </c>
      <c r="Z12" s="113">
        <f>Credit!Z25</f>
        <v>0</v>
      </c>
      <c r="AA12" s="113">
        <f>Credit!AA25</f>
        <v>0</v>
      </c>
      <c r="AB12" s="113">
        <f>Credit!AB25</f>
        <v>0</v>
      </c>
      <c r="AC12" s="113">
        <f>Credit!AC25</f>
        <v>0</v>
      </c>
      <c r="AD12" s="113">
        <f>Credit!AD25</f>
        <v>175</v>
      </c>
      <c r="AE12" s="113">
        <f>Credit!AE25</f>
        <v>0</v>
      </c>
      <c r="AF12" s="113">
        <f>Credit!AF25</f>
        <v>0</v>
      </c>
      <c r="AG12" s="113">
        <f>Credit!AG25</f>
        <v>0</v>
      </c>
      <c r="AH12" s="227">
        <f>Credit!AH25</f>
        <v>0</v>
      </c>
      <c r="AI12" s="113">
        <f>Credit!AI25</f>
        <v>0</v>
      </c>
      <c r="AJ12" s="113">
        <f>Credit!AJ25</f>
        <v>0</v>
      </c>
      <c r="AK12" s="113">
        <f>Credit!AK25</f>
        <v>0</v>
      </c>
      <c r="AL12" s="113">
        <f>Credit!AL25</f>
        <v>0</v>
      </c>
      <c r="AM12" s="113">
        <f>Credit!AM25</f>
        <v>0</v>
      </c>
      <c r="AN12" s="113">
        <f>Credit!AN25</f>
        <v>0</v>
      </c>
      <c r="AO12" s="113">
        <f>Credit!AO25</f>
        <v>0</v>
      </c>
      <c r="AP12" s="113">
        <f>Credit!AP25</f>
        <v>0</v>
      </c>
      <c r="AQ12" s="113">
        <f>Credit!AQ25</f>
        <v>0</v>
      </c>
      <c r="AR12" s="113">
        <f>Credit!AR25</f>
        <v>0</v>
      </c>
      <c r="AS12" s="113">
        <f>Credit!AS25</f>
        <v>0</v>
      </c>
      <c r="AT12" s="227">
        <f>Credit!AT25</f>
        <v>0</v>
      </c>
      <c r="AU12" s="113">
        <f>Credit!AU25</f>
        <v>0</v>
      </c>
      <c r="AV12" s="113">
        <f>Credit!AV25</f>
        <v>0</v>
      </c>
      <c r="AW12" s="113">
        <f>Credit!AW25</f>
        <v>0</v>
      </c>
      <c r="AX12" s="113">
        <f>Credit!AX25</f>
        <v>5</v>
      </c>
      <c r="AY12" s="113">
        <f>Credit!AY25</f>
        <v>0</v>
      </c>
      <c r="AZ12" s="113">
        <f>Credit!AZ25</f>
        <v>0</v>
      </c>
      <c r="BA12" s="113">
        <f>Credit!BA25</f>
        <v>0</v>
      </c>
      <c r="BB12" s="113">
        <f>Credit!BB25</f>
        <v>0</v>
      </c>
      <c r="BC12" s="113">
        <f>Credit!BC25</f>
        <v>0</v>
      </c>
      <c r="BD12" s="113">
        <f>Credit!BD25</f>
        <v>0</v>
      </c>
      <c r="BE12" s="113">
        <f>Credit!BE25</f>
        <v>0</v>
      </c>
      <c r="BF12" s="227">
        <f>Credit!BF25</f>
        <v>0</v>
      </c>
      <c r="BG12" s="113">
        <f>Credit!BG25</f>
        <v>0</v>
      </c>
      <c r="BH12" s="113">
        <f>Credit!BH25</f>
        <v>0</v>
      </c>
      <c r="BI12" s="113">
        <f>Credit!BI25</f>
        <v>0</v>
      </c>
      <c r="BJ12" s="113">
        <f>Credit!BJ25</f>
        <v>0</v>
      </c>
      <c r="BK12" s="113">
        <f>Credit!BK25</f>
        <v>0</v>
      </c>
      <c r="BL12" s="113">
        <f>Credit!BL25</f>
        <v>0</v>
      </c>
      <c r="BM12" s="113">
        <f>Credit!BM25</f>
        <v>15</v>
      </c>
      <c r="BN12" s="113">
        <f>Credit!BN25</f>
        <v>0</v>
      </c>
      <c r="BO12" s="113">
        <f>Credit!BO25</f>
        <v>0</v>
      </c>
      <c r="BP12" s="113">
        <f>Credit!BP25</f>
        <v>0</v>
      </c>
      <c r="BQ12" s="113">
        <f>Credit!BQ25</f>
        <v>0</v>
      </c>
      <c r="BR12" s="227">
        <f>Credit!BR25</f>
        <v>0</v>
      </c>
    </row>
    <row r="13" spans="1:70" s="125" customFormat="1" x14ac:dyDescent="0.3">
      <c r="A13" s="14"/>
      <c r="B13" s="101" t="s">
        <v>156</v>
      </c>
      <c r="C13" s="93"/>
      <c r="D13" s="93"/>
      <c r="E13" s="102">
        <f t="shared" si="0"/>
        <v>-422</v>
      </c>
      <c r="F13" s="102">
        <f t="shared" si="1"/>
        <v>165</v>
      </c>
      <c r="G13" s="102">
        <f t="shared" si="2"/>
        <v>0</v>
      </c>
      <c r="H13" s="102">
        <f t="shared" si="3"/>
        <v>5</v>
      </c>
      <c r="I13" s="102">
        <f t="shared" si="4"/>
        <v>15</v>
      </c>
      <c r="J13" s="102"/>
      <c r="K13" s="93">
        <f t="shared" ref="K13:AP13" si="7">SUM(K11:K12)</f>
        <v>-40</v>
      </c>
      <c r="L13" s="93">
        <f t="shared" si="7"/>
        <v>0</v>
      </c>
      <c r="M13" s="93">
        <f t="shared" si="7"/>
        <v>0</v>
      </c>
      <c r="N13" s="93">
        <f t="shared" si="7"/>
        <v>-250</v>
      </c>
      <c r="O13" s="93">
        <f t="shared" si="7"/>
        <v>0</v>
      </c>
      <c r="P13" s="93">
        <f t="shared" si="7"/>
        <v>-100</v>
      </c>
      <c r="Q13" s="93">
        <f t="shared" si="7"/>
        <v>0</v>
      </c>
      <c r="R13" s="93">
        <f t="shared" si="7"/>
        <v>-50</v>
      </c>
      <c r="S13" s="93">
        <f t="shared" si="7"/>
        <v>0</v>
      </c>
      <c r="T13" s="93">
        <f t="shared" si="7"/>
        <v>0</v>
      </c>
      <c r="U13" s="93">
        <f t="shared" si="7"/>
        <v>0</v>
      </c>
      <c r="V13" s="102">
        <f t="shared" si="7"/>
        <v>18</v>
      </c>
      <c r="W13" s="93">
        <f t="shared" si="7"/>
        <v>0</v>
      </c>
      <c r="X13" s="93">
        <f t="shared" si="7"/>
        <v>0</v>
      </c>
      <c r="Y13" s="93">
        <f t="shared" si="7"/>
        <v>0</v>
      </c>
      <c r="Z13" s="93">
        <f t="shared" si="7"/>
        <v>0</v>
      </c>
      <c r="AA13" s="93">
        <f t="shared" si="7"/>
        <v>0</v>
      </c>
      <c r="AB13" s="93">
        <f t="shared" si="7"/>
        <v>-10</v>
      </c>
      <c r="AC13" s="93">
        <f t="shared" si="7"/>
        <v>0</v>
      </c>
      <c r="AD13" s="93">
        <f t="shared" si="7"/>
        <v>175</v>
      </c>
      <c r="AE13" s="93">
        <f t="shared" si="7"/>
        <v>0</v>
      </c>
      <c r="AF13" s="93">
        <f t="shared" si="7"/>
        <v>0</v>
      </c>
      <c r="AG13" s="93">
        <f t="shared" si="7"/>
        <v>0</v>
      </c>
      <c r="AH13" s="102">
        <f t="shared" si="7"/>
        <v>0</v>
      </c>
      <c r="AI13" s="93">
        <f t="shared" si="7"/>
        <v>0</v>
      </c>
      <c r="AJ13" s="93">
        <f t="shared" si="7"/>
        <v>0</v>
      </c>
      <c r="AK13" s="93">
        <f t="shared" si="7"/>
        <v>0</v>
      </c>
      <c r="AL13" s="93">
        <f t="shared" si="7"/>
        <v>0</v>
      </c>
      <c r="AM13" s="93">
        <f t="shared" si="7"/>
        <v>0</v>
      </c>
      <c r="AN13" s="93">
        <f t="shared" si="7"/>
        <v>0</v>
      </c>
      <c r="AO13" s="93">
        <f t="shared" si="7"/>
        <v>0</v>
      </c>
      <c r="AP13" s="93">
        <f t="shared" si="7"/>
        <v>0</v>
      </c>
      <c r="AQ13" s="93">
        <f t="shared" ref="AQ13:BR13" si="8">SUM(AQ11:AQ12)</f>
        <v>0</v>
      </c>
      <c r="AR13" s="93">
        <f t="shared" si="8"/>
        <v>0</v>
      </c>
      <c r="AS13" s="93">
        <f t="shared" si="8"/>
        <v>0</v>
      </c>
      <c r="AT13" s="102">
        <f t="shared" si="8"/>
        <v>0</v>
      </c>
      <c r="AU13" s="93">
        <f t="shared" si="8"/>
        <v>0</v>
      </c>
      <c r="AV13" s="93">
        <f t="shared" si="8"/>
        <v>0</v>
      </c>
      <c r="AW13" s="93">
        <f t="shared" si="8"/>
        <v>0</v>
      </c>
      <c r="AX13" s="93">
        <f t="shared" si="8"/>
        <v>5</v>
      </c>
      <c r="AY13" s="93">
        <f t="shared" si="8"/>
        <v>0</v>
      </c>
      <c r="AZ13" s="93">
        <f t="shared" si="8"/>
        <v>0</v>
      </c>
      <c r="BA13" s="93">
        <f t="shared" si="8"/>
        <v>0</v>
      </c>
      <c r="BB13" s="93">
        <f t="shared" si="8"/>
        <v>0</v>
      </c>
      <c r="BC13" s="93">
        <f t="shared" si="8"/>
        <v>0</v>
      </c>
      <c r="BD13" s="93">
        <f t="shared" si="8"/>
        <v>0</v>
      </c>
      <c r="BE13" s="93">
        <f t="shared" si="8"/>
        <v>0</v>
      </c>
      <c r="BF13" s="102">
        <f t="shared" si="8"/>
        <v>0</v>
      </c>
      <c r="BG13" s="93">
        <f t="shared" si="8"/>
        <v>0</v>
      </c>
      <c r="BH13" s="93">
        <f t="shared" si="8"/>
        <v>0</v>
      </c>
      <c r="BI13" s="93">
        <f t="shared" si="8"/>
        <v>0</v>
      </c>
      <c r="BJ13" s="93">
        <f t="shared" si="8"/>
        <v>0</v>
      </c>
      <c r="BK13" s="93">
        <f t="shared" si="8"/>
        <v>0</v>
      </c>
      <c r="BL13" s="93">
        <f t="shared" si="8"/>
        <v>0</v>
      </c>
      <c r="BM13" s="93">
        <f t="shared" si="8"/>
        <v>15</v>
      </c>
      <c r="BN13" s="93">
        <f t="shared" si="8"/>
        <v>0</v>
      </c>
      <c r="BO13" s="93">
        <f t="shared" si="8"/>
        <v>0</v>
      </c>
      <c r="BP13" s="93">
        <f t="shared" si="8"/>
        <v>0</v>
      </c>
      <c r="BQ13" s="93">
        <f t="shared" si="8"/>
        <v>0</v>
      </c>
      <c r="BR13" s="102">
        <f t="shared" si="8"/>
        <v>0</v>
      </c>
    </row>
    <row r="14" spans="1:70" s="105" customFormat="1" ht="6" customHeight="1" x14ac:dyDescent="0.3">
      <c r="A14" s="6"/>
      <c r="B14" s="104"/>
    </row>
    <row r="15" spans="1:70" s="105" customFormat="1" x14ac:dyDescent="0.3">
      <c r="A15" s="6"/>
      <c r="B15" s="92" t="s">
        <v>197</v>
      </c>
      <c r="C15" s="94"/>
      <c r="D15" s="94"/>
      <c r="E15" s="96">
        <f t="shared" si="0"/>
        <v>50</v>
      </c>
      <c r="F15" s="96">
        <f t="shared" si="1"/>
        <v>0</v>
      </c>
      <c r="G15" s="96">
        <f t="shared" si="2"/>
        <v>0</v>
      </c>
      <c r="H15" s="96">
        <f t="shared" si="3"/>
        <v>0</v>
      </c>
      <c r="I15" s="96">
        <f t="shared" si="4"/>
        <v>0</v>
      </c>
      <c r="J15" s="94"/>
      <c r="K15" s="105">
        <f>Balance!K22-CapitalShortStart</f>
        <v>0</v>
      </c>
      <c r="L15" s="105">
        <f>Balance!L22-Balance!K22</f>
        <v>0</v>
      </c>
      <c r="M15" s="105">
        <f>Balance!M22-Balance!L22</f>
        <v>0</v>
      </c>
      <c r="N15" s="105">
        <f>Balance!N22-Balance!M22</f>
        <v>0</v>
      </c>
      <c r="O15" s="105">
        <f>Balance!O22-Balance!N22</f>
        <v>0</v>
      </c>
      <c r="P15" s="105">
        <f>Balance!P22-Balance!O22</f>
        <v>25</v>
      </c>
      <c r="Q15" s="105">
        <f>Balance!Q22-Balance!P22</f>
        <v>0</v>
      </c>
      <c r="R15" s="105">
        <f>Balance!R22-Balance!Q22</f>
        <v>0</v>
      </c>
      <c r="S15" s="105">
        <f>Balance!S22-Balance!R22</f>
        <v>25</v>
      </c>
      <c r="T15" s="105">
        <f>Balance!T22-Balance!S22</f>
        <v>0</v>
      </c>
      <c r="U15" s="105">
        <f>Balance!U22-Balance!T22</f>
        <v>0</v>
      </c>
      <c r="V15" s="119">
        <f>Balance!V22-Balance!U22</f>
        <v>0</v>
      </c>
      <c r="W15" s="105">
        <f>Balance!W22-Balance!V22</f>
        <v>0</v>
      </c>
      <c r="X15" s="105">
        <f>Balance!X22-Balance!W22</f>
        <v>0</v>
      </c>
      <c r="Y15" s="105">
        <f>Balance!Y22-Balance!X22</f>
        <v>0</v>
      </c>
      <c r="Z15" s="105">
        <f>Balance!Z22-Balance!Y22</f>
        <v>0</v>
      </c>
      <c r="AA15" s="105">
        <f>Balance!AA22-Balance!Z22</f>
        <v>0</v>
      </c>
      <c r="AB15" s="105">
        <f>Balance!AB22-Balance!AA22</f>
        <v>0</v>
      </c>
      <c r="AC15" s="105">
        <f>Balance!AC22-Balance!AB22</f>
        <v>0</v>
      </c>
      <c r="AD15" s="105">
        <f>Balance!AD22-Balance!AC22</f>
        <v>0</v>
      </c>
      <c r="AE15" s="105">
        <f>Balance!AE22-Balance!AD22</f>
        <v>0</v>
      </c>
      <c r="AF15" s="105">
        <f>Balance!AF22-Balance!AE22</f>
        <v>0</v>
      </c>
      <c r="AG15" s="105">
        <f>Balance!AG22-Balance!AF22</f>
        <v>0</v>
      </c>
      <c r="AH15" s="119">
        <f>Balance!AH22-Balance!AG22</f>
        <v>0</v>
      </c>
      <c r="AI15" s="105">
        <f>Balance!AI22-Balance!AH22</f>
        <v>0</v>
      </c>
      <c r="AJ15" s="105">
        <f>Balance!AJ22-Balance!AI22</f>
        <v>0</v>
      </c>
      <c r="AK15" s="105">
        <f>Balance!AK22-Balance!AJ22</f>
        <v>0</v>
      </c>
      <c r="AL15" s="105">
        <f>Balance!AL22-Balance!AK22</f>
        <v>0</v>
      </c>
      <c r="AM15" s="105">
        <f>Balance!AM22-Balance!AL22</f>
        <v>0</v>
      </c>
      <c r="AN15" s="105">
        <f>Balance!AN22-Balance!AM22</f>
        <v>0</v>
      </c>
      <c r="AO15" s="105">
        <f>Balance!AO22-Balance!AN22</f>
        <v>0</v>
      </c>
      <c r="AP15" s="105">
        <f>Balance!AP22-Balance!AO22</f>
        <v>0</v>
      </c>
      <c r="AQ15" s="105">
        <f>Balance!AQ22-Balance!AP22</f>
        <v>0</v>
      </c>
      <c r="AR15" s="105">
        <f>Balance!AR22-Balance!AQ22</f>
        <v>0</v>
      </c>
      <c r="AS15" s="105">
        <f>Balance!AS22-Balance!AR22</f>
        <v>0</v>
      </c>
      <c r="AT15" s="119">
        <f>Balance!AT22-Balance!AS22</f>
        <v>0</v>
      </c>
      <c r="AU15" s="105">
        <f>Balance!AU22-Balance!AT22</f>
        <v>0</v>
      </c>
      <c r="AV15" s="105">
        <f>Balance!AV22-Balance!AU22</f>
        <v>0</v>
      </c>
      <c r="AW15" s="105">
        <f>Balance!AW22-Balance!AV22</f>
        <v>0</v>
      </c>
      <c r="AX15" s="105">
        <f>Balance!AX22-Balance!AW22</f>
        <v>0</v>
      </c>
      <c r="AY15" s="105">
        <f>Balance!AY22-Balance!AX22</f>
        <v>0</v>
      </c>
      <c r="AZ15" s="105">
        <f>Balance!AZ22-Balance!AY22</f>
        <v>0</v>
      </c>
      <c r="BA15" s="105">
        <f>Balance!BA22-Balance!AZ22</f>
        <v>0</v>
      </c>
      <c r="BB15" s="105">
        <f>Balance!BB22-Balance!BA22</f>
        <v>0</v>
      </c>
      <c r="BC15" s="105">
        <f>Balance!BC22-Balance!BB22</f>
        <v>0</v>
      </c>
      <c r="BD15" s="105">
        <f>Balance!BD22-Balance!BC22</f>
        <v>0</v>
      </c>
      <c r="BE15" s="105">
        <f>Balance!BE22-Balance!BD22</f>
        <v>0</v>
      </c>
      <c r="BF15" s="119">
        <f>Balance!BF22-Balance!BE22</f>
        <v>0</v>
      </c>
      <c r="BG15" s="105">
        <f>Balance!BG22-Balance!BF22</f>
        <v>0</v>
      </c>
      <c r="BH15" s="105">
        <f>Balance!BH22-Balance!BG22</f>
        <v>0</v>
      </c>
      <c r="BI15" s="105">
        <f>Balance!BI22-Balance!BH22</f>
        <v>0</v>
      </c>
      <c r="BJ15" s="105">
        <f>Balance!BJ22-Balance!BI22</f>
        <v>0</v>
      </c>
      <c r="BK15" s="105">
        <f>Balance!BK22-Balance!BJ22</f>
        <v>0</v>
      </c>
      <c r="BL15" s="105">
        <f>Balance!BL22-Balance!BK22</f>
        <v>0</v>
      </c>
      <c r="BM15" s="105">
        <f>Balance!BM22-Balance!BL22</f>
        <v>0</v>
      </c>
      <c r="BN15" s="105">
        <f>Balance!BN22-Balance!BM22</f>
        <v>0</v>
      </c>
      <c r="BO15" s="105">
        <f>Balance!BO22-Balance!BN22</f>
        <v>0</v>
      </c>
      <c r="BP15" s="105">
        <f>Balance!BP22-Balance!BO22</f>
        <v>0</v>
      </c>
      <c r="BQ15" s="105">
        <f>Balance!BQ22-Balance!BP22</f>
        <v>0</v>
      </c>
      <c r="BR15" s="119">
        <f>Balance!BR22-Balance!BQ22</f>
        <v>0</v>
      </c>
    </row>
    <row r="16" spans="1:70" s="105" customFormat="1" x14ac:dyDescent="0.3">
      <c r="A16" s="6"/>
      <c r="B16" s="92" t="s">
        <v>198</v>
      </c>
      <c r="C16" s="94"/>
      <c r="D16" s="94"/>
      <c r="E16" s="96"/>
      <c r="F16" s="96"/>
      <c r="G16" s="96"/>
      <c r="H16" s="96"/>
      <c r="I16" s="96"/>
      <c r="J16" s="94"/>
      <c r="K16" s="94">
        <f>Balance!K25-CapitalLongStart</f>
        <v>0</v>
      </c>
      <c r="L16" s="94">
        <f>Balance!L25-Balance!K25</f>
        <v>0</v>
      </c>
      <c r="M16" s="94">
        <f>Balance!M25-Balance!L25</f>
        <v>0</v>
      </c>
      <c r="N16" s="94">
        <f>Balance!N25-Balance!M25</f>
        <v>0</v>
      </c>
      <c r="O16" s="94">
        <f>Balance!O25-Balance!N25</f>
        <v>0</v>
      </c>
      <c r="P16" s="94">
        <f>Balance!P25-Balance!O25</f>
        <v>0</v>
      </c>
      <c r="Q16" s="94">
        <f>Balance!Q25-Balance!P25</f>
        <v>0</v>
      </c>
      <c r="R16" s="94">
        <f>Balance!R25-Balance!Q25</f>
        <v>0</v>
      </c>
      <c r="S16" s="94">
        <f>Balance!S25-Balance!R25</f>
        <v>0</v>
      </c>
      <c r="T16" s="94">
        <f>Balance!T25-Balance!S25</f>
        <v>0</v>
      </c>
      <c r="U16" s="94">
        <f>Balance!U25-Balance!T25</f>
        <v>0</v>
      </c>
      <c r="V16" s="96">
        <f>Balance!V25-Balance!U25</f>
        <v>0</v>
      </c>
      <c r="W16" s="94">
        <f>Balance!W25-Balance!V25</f>
        <v>0</v>
      </c>
      <c r="X16" s="94">
        <f>Balance!X25-Balance!W25</f>
        <v>0</v>
      </c>
      <c r="Y16" s="94">
        <f>Balance!Y25-Balance!X25</f>
        <v>0</v>
      </c>
      <c r="Z16" s="94">
        <f>Balance!Z25-Balance!Y25</f>
        <v>0</v>
      </c>
      <c r="AA16" s="94">
        <f>Balance!AA25-Balance!Z25</f>
        <v>0</v>
      </c>
      <c r="AB16" s="94">
        <f>Balance!AB25-Balance!AA25</f>
        <v>0</v>
      </c>
      <c r="AC16" s="94">
        <f>Balance!AC25-Balance!AB25</f>
        <v>0</v>
      </c>
      <c r="AD16" s="94">
        <f>Balance!AD25-Balance!AC25</f>
        <v>0</v>
      </c>
      <c r="AE16" s="94">
        <f>Balance!AE25-Balance!AD25</f>
        <v>0</v>
      </c>
      <c r="AF16" s="94">
        <f>Balance!AF25-Balance!AE25</f>
        <v>0</v>
      </c>
      <c r="AG16" s="94">
        <f>Balance!AG25-Balance!AF25</f>
        <v>0</v>
      </c>
      <c r="AH16" s="96">
        <f>Balance!AH25-Balance!AG25</f>
        <v>0</v>
      </c>
      <c r="AI16" s="94">
        <f>Balance!AI25-Balance!AH25</f>
        <v>0</v>
      </c>
      <c r="AJ16" s="94">
        <f>Balance!AJ25-Balance!AI25</f>
        <v>0</v>
      </c>
      <c r="AK16" s="94">
        <f>Balance!AK25-Balance!AJ25</f>
        <v>0</v>
      </c>
      <c r="AL16" s="94">
        <f>Balance!AL25-Balance!AK25</f>
        <v>0</v>
      </c>
      <c r="AM16" s="94">
        <f>Balance!AM25-Balance!AL25</f>
        <v>0</v>
      </c>
      <c r="AN16" s="94">
        <f>Balance!AN25-Balance!AM25</f>
        <v>0</v>
      </c>
      <c r="AO16" s="94">
        <f>Balance!AO25-Balance!AN25</f>
        <v>0</v>
      </c>
      <c r="AP16" s="94">
        <f>Balance!AP25-Balance!AO25</f>
        <v>0</v>
      </c>
      <c r="AQ16" s="94">
        <f>Balance!AQ25-Balance!AP25</f>
        <v>0</v>
      </c>
      <c r="AR16" s="94">
        <f>Balance!AR25-Balance!AQ25</f>
        <v>0</v>
      </c>
      <c r="AS16" s="94">
        <f>Balance!AS25-Balance!AR25</f>
        <v>0</v>
      </c>
      <c r="AT16" s="96">
        <f>Balance!AT25-Balance!AS25</f>
        <v>0</v>
      </c>
      <c r="AU16" s="94">
        <f>Balance!AU25-Balance!AT25</f>
        <v>0</v>
      </c>
      <c r="AV16" s="94">
        <f>Balance!AV25-Balance!AU25</f>
        <v>0</v>
      </c>
      <c r="AW16" s="94">
        <f>Balance!AW25-Balance!AV25</f>
        <v>0</v>
      </c>
      <c r="AX16" s="94">
        <f>Balance!AX25-Balance!AW25</f>
        <v>0</v>
      </c>
      <c r="AY16" s="94">
        <f>Balance!AY25-Balance!AX25</f>
        <v>0</v>
      </c>
      <c r="AZ16" s="94">
        <f>Balance!AZ25-Balance!AY25</f>
        <v>0</v>
      </c>
      <c r="BA16" s="94">
        <f>Balance!BA25-Balance!AZ25</f>
        <v>0</v>
      </c>
      <c r="BB16" s="94">
        <f>Balance!BB25-Balance!BA25</f>
        <v>0</v>
      </c>
      <c r="BC16" s="94">
        <f>Balance!BC25-Balance!BB25</f>
        <v>0</v>
      </c>
      <c r="BD16" s="94">
        <f>Balance!BD25-Balance!BC25</f>
        <v>0</v>
      </c>
      <c r="BE16" s="94">
        <f>Balance!BE25-Balance!BD25</f>
        <v>0</v>
      </c>
      <c r="BF16" s="96">
        <f>Balance!BF25-Balance!BE25</f>
        <v>0</v>
      </c>
      <c r="BG16" s="94">
        <f>Balance!BG25-Balance!BF25</f>
        <v>0</v>
      </c>
      <c r="BH16" s="94">
        <f>Balance!BH25-Balance!BG25</f>
        <v>0</v>
      </c>
      <c r="BI16" s="94">
        <f>Balance!BI25-Balance!BH25</f>
        <v>0</v>
      </c>
      <c r="BJ16" s="94">
        <f>Balance!BJ25-Balance!BI25</f>
        <v>0</v>
      </c>
      <c r="BK16" s="94">
        <f>Balance!BK25-Balance!BJ25</f>
        <v>0</v>
      </c>
      <c r="BL16" s="94">
        <f>Balance!BL25-Balance!BK25</f>
        <v>0</v>
      </c>
      <c r="BM16" s="94">
        <f>Balance!BM25-Balance!BL25</f>
        <v>0</v>
      </c>
      <c r="BN16" s="94">
        <f>Balance!BN25-Balance!BM25</f>
        <v>0</v>
      </c>
      <c r="BO16" s="94">
        <f>Balance!BO25-Balance!BN25</f>
        <v>0</v>
      </c>
      <c r="BP16" s="94">
        <f>Balance!BP25-Balance!BO25</f>
        <v>0</v>
      </c>
      <c r="BQ16" s="94">
        <f>Balance!BQ25-Balance!BP25</f>
        <v>0</v>
      </c>
      <c r="BR16" s="96">
        <f>Balance!BR25-Balance!BQ25</f>
        <v>0</v>
      </c>
    </row>
    <row r="17" spans="1:76" s="105" customFormat="1" x14ac:dyDescent="0.3">
      <c r="A17" s="6"/>
      <c r="B17" s="92" t="s">
        <v>217</v>
      </c>
      <c r="C17" s="94"/>
      <c r="D17" s="94"/>
      <c r="E17" s="96"/>
      <c r="F17" s="96"/>
      <c r="G17" s="96"/>
      <c r="H17" s="96"/>
      <c r="I17" s="96"/>
      <c r="J17" s="94"/>
      <c r="K17" s="105">
        <f>Balance!K28-CapitalPreferredStart</f>
        <v>0</v>
      </c>
      <c r="L17" s="105">
        <f>Balance!L28-Balance!K28</f>
        <v>0</v>
      </c>
      <c r="M17" s="105">
        <f>Balance!M28-Balance!L28</f>
        <v>0</v>
      </c>
      <c r="N17" s="105">
        <f>Balance!N28-Balance!M28</f>
        <v>0</v>
      </c>
      <c r="O17" s="105">
        <f>Balance!O28-Balance!N28</f>
        <v>0</v>
      </c>
      <c r="P17" s="105">
        <f>Balance!P28-Balance!O28</f>
        <v>10</v>
      </c>
      <c r="Q17" s="105">
        <f>Balance!Q28-Balance!P28</f>
        <v>0</v>
      </c>
      <c r="R17" s="105">
        <f>Balance!R28-Balance!Q28</f>
        <v>0</v>
      </c>
      <c r="S17" s="105">
        <f>Balance!S28-Balance!R28</f>
        <v>0</v>
      </c>
      <c r="T17" s="105">
        <f>Balance!T28-Balance!S28</f>
        <v>0</v>
      </c>
      <c r="U17" s="105">
        <f>Balance!U28-Balance!T28</f>
        <v>0</v>
      </c>
      <c r="V17" s="119">
        <f>Balance!V28-Balance!U28</f>
        <v>0</v>
      </c>
      <c r="W17" s="105">
        <f>Balance!W28-Balance!V28</f>
        <v>0</v>
      </c>
      <c r="X17" s="105">
        <f>Balance!X28-Balance!W28</f>
        <v>0</v>
      </c>
      <c r="Y17" s="105">
        <f>Balance!Y28-Balance!X28</f>
        <v>0</v>
      </c>
      <c r="Z17" s="105">
        <f>Balance!Z28-Balance!Y28</f>
        <v>0</v>
      </c>
      <c r="AA17" s="105">
        <f>Balance!AA28-Balance!Z28</f>
        <v>0</v>
      </c>
      <c r="AB17" s="105">
        <f>Balance!AB28-Balance!AA28</f>
        <v>0</v>
      </c>
      <c r="AC17" s="105">
        <f>Balance!AC28-Balance!AB28</f>
        <v>0</v>
      </c>
      <c r="AD17" s="105">
        <f>Balance!AD28-Balance!AC28</f>
        <v>0</v>
      </c>
      <c r="AE17" s="105">
        <f>Balance!AE28-Balance!AD28</f>
        <v>0</v>
      </c>
      <c r="AF17" s="105">
        <f>Balance!AF28-Balance!AE28</f>
        <v>0</v>
      </c>
      <c r="AG17" s="105">
        <f>Balance!AG28-Balance!AF28</f>
        <v>0</v>
      </c>
      <c r="AH17" s="119">
        <f>Balance!AH28-Balance!AG28</f>
        <v>0</v>
      </c>
      <c r="AI17" s="105">
        <f>Balance!AI28-Balance!AH28</f>
        <v>0</v>
      </c>
      <c r="AJ17" s="105">
        <f>Balance!AJ28-Balance!AI28</f>
        <v>0</v>
      </c>
      <c r="AK17" s="105">
        <f>Balance!AK28-Balance!AJ28</f>
        <v>0</v>
      </c>
      <c r="AL17" s="105">
        <f>Balance!AL28-Balance!AK28</f>
        <v>0</v>
      </c>
      <c r="AM17" s="105">
        <f>Balance!AM28-Balance!AL28</f>
        <v>0</v>
      </c>
      <c r="AN17" s="105">
        <f>Balance!AN28-Balance!AM28</f>
        <v>0</v>
      </c>
      <c r="AO17" s="105">
        <f>Balance!AO28-Balance!AN28</f>
        <v>0</v>
      </c>
      <c r="AP17" s="105">
        <f>Balance!AP28-Balance!AO28</f>
        <v>0</v>
      </c>
      <c r="AQ17" s="105">
        <f>Balance!AQ28-Balance!AP28</f>
        <v>0</v>
      </c>
      <c r="AR17" s="105">
        <f>Balance!AR28-Balance!AQ28</f>
        <v>0</v>
      </c>
      <c r="AS17" s="105">
        <f>Balance!AS28-Balance!AR28</f>
        <v>0</v>
      </c>
      <c r="AT17" s="119">
        <f>Balance!AT28-Balance!AS28</f>
        <v>0</v>
      </c>
      <c r="AU17" s="105">
        <f>Balance!AU28-Balance!AT28</f>
        <v>0</v>
      </c>
      <c r="AV17" s="105">
        <f>Balance!AV28-Balance!AU28</f>
        <v>0</v>
      </c>
      <c r="AW17" s="105">
        <f>Balance!AW28-Balance!AV28</f>
        <v>0</v>
      </c>
      <c r="AX17" s="105">
        <f>Balance!AX28-Balance!AW28</f>
        <v>0</v>
      </c>
      <c r="AY17" s="105">
        <f>Balance!AY28-Balance!AX28</f>
        <v>0</v>
      </c>
      <c r="AZ17" s="105">
        <f>Balance!AZ28-Balance!AY28</f>
        <v>0</v>
      </c>
      <c r="BA17" s="105">
        <f>Balance!BA28-Balance!AZ28</f>
        <v>0</v>
      </c>
      <c r="BB17" s="105">
        <f>Balance!BB28-Balance!BA28</f>
        <v>0</v>
      </c>
      <c r="BC17" s="105">
        <f>Balance!BC28-Balance!BB28</f>
        <v>0</v>
      </c>
      <c r="BD17" s="105">
        <f>Balance!BD28-Balance!BC28</f>
        <v>0</v>
      </c>
      <c r="BE17" s="105">
        <f>Balance!BE28-Balance!BD28</f>
        <v>0</v>
      </c>
      <c r="BF17" s="119">
        <f>Balance!BF28-Balance!BE28</f>
        <v>0</v>
      </c>
      <c r="BG17" s="105">
        <f>Balance!BG28-Balance!BF28</f>
        <v>0</v>
      </c>
      <c r="BH17" s="105">
        <f>Balance!BH28-Balance!BG28</f>
        <v>0</v>
      </c>
      <c r="BI17" s="105">
        <f>Balance!BI28-Balance!BH28</f>
        <v>0</v>
      </c>
      <c r="BJ17" s="105">
        <f>Balance!BJ28-Balance!BI28</f>
        <v>0</v>
      </c>
      <c r="BK17" s="105">
        <f>Balance!BK28-Balance!BJ28</f>
        <v>0</v>
      </c>
      <c r="BL17" s="105">
        <f>Balance!BL28-Balance!BK28</f>
        <v>0</v>
      </c>
      <c r="BM17" s="105">
        <f>Balance!BM28-Balance!BL28</f>
        <v>0</v>
      </c>
      <c r="BN17" s="105">
        <f>Balance!BN28-Balance!BM28</f>
        <v>0</v>
      </c>
      <c r="BO17" s="105">
        <f>Balance!BO28-Balance!BN28</f>
        <v>0</v>
      </c>
      <c r="BP17" s="105">
        <f>Balance!BP28-Balance!BO28</f>
        <v>0</v>
      </c>
      <c r="BQ17" s="105">
        <f>Balance!BQ28-Balance!BP28</f>
        <v>0</v>
      </c>
      <c r="BR17" s="119">
        <f>Balance!BR28-Balance!BQ28</f>
        <v>0</v>
      </c>
    </row>
    <row r="18" spans="1:76" s="105" customFormat="1" x14ac:dyDescent="0.3">
      <c r="A18" s="6"/>
      <c r="B18" s="92" t="s">
        <v>218</v>
      </c>
      <c r="C18" s="94"/>
      <c r="D18" s="94"/>
      <c r="E18" s="96"/>
      <c r="F18" s="96"/>
      <c r="G18" s="96"/>
      <c r="H18" s="96"/>
      <c r="I18" s="96"/>
      <c r="J18" s="94"/>
      <c r="K18" s="94">
        <f>Balance!K29-CapitalCommonStart</f>
        <v>0</v>
      </c>
      <c r="L18" s="94">
        <f>Balance!L29-Balance!K29</f>
        <v>0</v>
      </c>
      <c r="M18" s="94">
        <f>Balance!M29-Balance!L29</f>
        <v>0</v>
      </c>
      <c r="N18" s="94">
        <f>Balance!N29-Balance!M29</f>
        <v>0</v>
      </c>
      <c r="O18" s="94">
        <f>Balance!O29-Balance!N29</f>
        <v>0</v>
      </c>
      <c r="P18" s="94">
        <f>Balance!P29-Balance!O29</f>
        <v>0</v>
      </c>
      <c r="Q18" s="94">
        <f>Balance!Q29-Balance!P29</f>
        <v>0</v>
      </c>
      <c r="R18" s="94">
        <f>Balance!R29-Balance!Q29</f>
        <v>0</v>
      </c>
      <c r="S18" s="94">
        <f>Balance!S29-Balance!R29</f>
        <v>0</v>
      </c>
      <c r="T18" s="94">
        <f>Balance!T29-Balance!S29</f>
        <v>0</v>
      </c>
      <c r="U18" s="94">
        <f>Balance!U29-Balance!T29</f>
        <v>0</v>
      </c>
      <c r="V18" s="96">
        <f>Balance!V29-Balance!U29</f>
        <v>0</v>
      </c>
      <c r="W18" s="94">
        <f>Balance!W29-Balance!V29</f>
        <v>0</v>
      </c>
      <c r="X18" s="94">
        <f>Balance!X29-Balance!W29</f>
        <v>0</v>
      </c>
      <c r="Y18" s="94">
        <f>Balance!Y29-Balance!X29</f>
        <v>0</v>
      </c>
      <c r="Z18" s="94">
        <f>Balance!Z29-Balance!Y29</f>
        <v>0</v>
      </c>
      <c r="AA18" s="94">
        <f>Balance!AA29-Balance!Z29</f>
        <v>0</v>
      </c>
      <c r="AB18" s="94">
        <f>Balance!AB29-Balance!AA29</f>
        <v>0</v>
      </c>
      <c r="AC18" s="94">
        <f>Balance!AC29-Balance!AB29</f>
        <v>0</v>
      </c>
      <c r="AD18" s="94">
        <f>Balance!AD29-Balance!AC29</f>
        <v>0</v>
      </c>
      <c r="AE18" s="94">
        <f>Balance!AE29-Balance!AD29</f>
        <v>0</v>
      </c>
      <c r="AF18" s="94">
        <f>Balance!AF29-Balance!AE29</f>
        <v>0</v>
      </c>
      <c r="AG18" s="94">
        <f>Balance!AG29-Balance!AF29</f>
        <v>0</v>
      </c>
      <c r="AH18" s="96">
        <f>Balance!AH29-Balance!AG29</f>
        <v>0</v>
      </c>
      <c r="AI18" s="94">
        <f>Balance!AI29-Balance!AH29</f>
        <v>0</v>
      </c>
      <c r="AJ18" s="94">
        <f>Balance!AJ29-Balance!AI29</f>
        <v>0</v>
      </c>
      <c r="AK18" s="94">
        <f>Balance!AK29-Balance!AJ29</f>
        <v>0</v>
      </c>
      <c r="AL18" s="94">
        <f>Balance!AL29-Balance!AK29</f>
        <v>0</v>
      </c>
      <c r="AM18" s="94">
        <f>Balance!AM29-Balance!AL29</f>
        <v>0</v>
      </c>
      <c r="AN18" s="94">
        <f>Balance!AN29-Balance!AM29</f>
        <v>0</v>
      </c>
      <c r="AO18" s="94">
        <f>Balance!AO29-Balance!AN29</f>
        <v>0</v>
      </c>
      <c r="AP18" s="94">
        <f>Balance!AP29-Balance!AO29</f>
        <v>0</v>
      </c>
      <c r="AQ18" s="94">
        <f>Balance!AQ29-Balance!AP29</f>
        <v>0</v>
      </c>
      <c r="AR18" s="94">
        <f>Balance!AR29-Balance!AQ29</f>
        <v>0</v>
      </c>
      <c r="AS18" s="94">
        <f>Balance!AS29-Balance!AR29</f>
        <v>0</v>
      </c>
      <c r="AT18" s="96">
        <f>Balance!AT29-Balance!AS29</f>
        <v>0</v>
      </c>
      <c r="AU18" s="94">
        <f>Balance!AU29-Balance!AT29</f>
        <v>0</v>
      </c>
      <c r="AV18" s="94">
        <f>Balance!AV29-Balance!AU29</f>
        <v>0</v>
      </c>
      <c r="AW18" s="94">
        <f>Balance!AW29-Balance!AV29</f>
        <v>0</v>
      </c>
      <c r="AX18" s="94">
        <f>Balance!AX29-Balance!AW29</f>
        <v>0</v>
      </c>
      <c r="AY18" s="94">
        <f>Balance!AY29-Balance!AX29</f>
        <v>0</v>
      </c>
      <c r="AZ18" s="94">
        <f>Balance!AZ29-Balance!AY29</f>
        <v>0</v>
      </c>
      <c r="BA18" s="94">
        <f>Balance!BA29-Balance!AZ29</f>
        <v>0</v>
      </c>
      <c r="BB18" s="94">
        <f>Balance!BB29-Balance!BA29</f>
        <v>0</v>
      </c>
      <c r="BC18" s="94">
        <f>Balance!BC29-Balance!BB29</f>
        <v>0</v>
      </c>
      <c r="BD18" s="94">
        <f>Balance!BD29-Balance!BC29</f>
        <v>0</v>
      </c>
      <c r="BE18" s="94">
        <f>Balance!BE29-Balance!BD29</f>
        <v>0</v>
      </c>
      <c r="BF18" s="96">
        <f>Balance!BF29-Balance!BE29</f>
        <v>0</v>
      </c>
      <c r="BG18" s="94">
        <f>Balance!BG29-Balance!BF29</f>
        <v>0</v>
      </c>
      <c r="BH18" s="94">
        <f>Balance!BH29-Balance!BG29</f>
        <v>0</v>
      </c>
      <c r="BI18" s="94">
        <f>Balance!BI29-Balance!BH29</f>
        <v>0</v>
      </c>
      <c r="BJ18" s="94">
        <f>Balance!BJ29-Balance!BI29</f>
        <v>0</v>
      </c>
      <c r="BK18" s="94">
        <f>Balance!BK29-Balance!BJ29</f>
        <v>0</v>
      </c>
      <c r="BL18" s="94">
        <f>Balance!BL29-Balance!BK29</f>
        <v>0</v>
      </c>
      <c r="BM18" s="94">
        <f>Balance!BM29-Balance!BL29</f>
        <v>0</v>
      </c>
      <c r="BN18" s="94">
        <f>Balance!BN29-Balance!BM29</f>
        <v>0</v>
      </c>
      <c r="BO18" s="94">
        <f>Balance!BO29-Balance!BN29</f>
        <v>0</v>
      </c>
      <c r="BP18" s="94">
        <f>Balance!BP29-Balance!BO29</f>
        <v>0</v>
      </c>
      <c r="BQ18" s="94">
        <f>Balance!BQ29-Balance!BP29</f>
        <v>0</v>
      </c>
      <c r="BR18" s="96">
        <f>Balance!BR29-Balance!BQ29</f>
        <v>0</v>
      </c>
    </row>
    <row r="19" spans="1:76" s="105" customFormat="1" x14ac:dyDescent="0.3">
      <c r="A19" s="6"/>
      <c r="B19" s="114" t="s">
        <v>118</v>
      </c>
      <c r="C19" s="94"/>
      <c r="D19" s="94"/>
      <c r="E19" s="136">
        <f t="shared" si="0"/>
        <v>-50</v>
      </c>
      <c r="F19" s="136">
        <f t="shared" si="1"/>
        <v>-100</v>
      </c>
      <c r="G19" s="136">
        <f t="shared" si="2"/>
        <v>0</v>
      </c>
      <c r="H19" s="136">
        <f t="shared" si="3"/>
        <v>0</v>
      </c>
      <c r="I19" s="136">
        <f t="shared" si="4"/>
        <v>0</v>
      </c>
      <c r="J19" s="94"/>
      <c r="K19" s="113">
        <f>-Income!K32</f>
        <v>0</v>
      </c>
      <c r="L19" s="113">
        <f>-Income!L32</f>
        <v>0</v>
      </c>
      <c r="M19" s="113">
        <f>-Income!M32</f>
        <v>0</v>
      </c>
      <c r="N19" s="113">
        <f>-Income!N32</f>
        <v>0</v>
      </c>
      <c r="O19" s="113">
        <f>-Income!O32</f>
        <v>0</v>
      </c>
      <c r="P19" s="113">
        <f>-Income!P32</f>
        <v>-50</v>
      </c>
      <c r="Q19" s="113">
        <f>-Income!Q32</f>
        <v>0</v>
      </c>
      <c r="R19" s="113">
        <f>-Income!R32</f>
        <v>0</v>
      </c>
      <c r="S19" s="113">
        <f>-Income!S32</f>
        <v>0</v>
      </c>
      <c r="T19" s="113">
        <f>-Income!T32</f>
        <v>0</v>
      </c>
      <c r="U19" s="113">
        <f>-Income!U32</f>
        <v>0</v>
      </c>
      <c r="V19" s="136">
        <f>-Income!V32</f>
        <v>0</v>
      </c>
      <c r="W19" s="113">
        <f>-Income!W32</f>
        <v>0</v>
      </c>
      <c r="X19" s="113">
        <f>-Income!X32</f>
        <v>0</v>
      </c>
      <c r="Y19" s="113">
        <f>-Income!Y32</f>
        <v>0</v>
      </c>
      <c r="Z19" s="113">
        <f>-Income!Z32</f>
        <v>0</v>
      </c>
      <c r="AA19" s="113">
        <f>-Income!AA32</f>
        <v>0</v>
      </c>
      <c r="AB19" s="113">
        <f>-Income!AB32</f>
        <v>-100</v>
      </c>
      <c r="AC19" s="113">
        <f>-Income!AC32</f>
        <v>0</v>
      </c>
      <c r="AD19" s="113">
        <f>-Income!AD32</f>
        <v>0</v>
      </c>
      <c r="AE19" s="113">
        <f>-Income!AE32</f>
        <v>0</v>
      </c>
      <c r="AF19" s="113">
        <f>-Income!AF32</f>
        <v>0</v>
      </c>
      <c r="AG19" s="113">
        <f>-Income!AG32</f>
        <v>0</v>
      </c>
      <c r="AH19" s="136">
        <f>-Income!AH32</f>
        <v>0</v>
      </c>
      <c r="AI19" s="113">
        <f>-Income!AI32</f>
        <v>0</v>
      </c>
      <c r="AJ19" s="113">
        <f>-Income!AJ32</f>
        <v>0</v>
      </c>
      <c r="AK19" s="113">
        <f>-Income!AK32</f>
        <v>0</v>
      </c>
      <c r="AL19" s="113">
        <f>-Income!AL32</f>
        <v>0</v>
      </c>
      <c r="AM19" s="113">
        <f>-Income!AM32</f>
        <v>0</v>
      </c>
      <c r="AN19" s="113">
        <f>-Income!AN32</f>
        <v>0</v>
      </c>
      <c r="AO19" s="113">
        <f>-Income!AO32</f>
        <v>0</v>
      </c>
      <c r="AP19" s="113">
        <f>-Income!AP32</f>
        <v>0</v>
      </c>
      <c r="AQ19" s="113">
        <f>-Income!AQ32</f>
        <v>0</v>
      </c>
      <c r="AR19" s="113">
        <f>-Income!AR32</f>
        <v>0</v>
      </c>
      <c r="AS19" s="113">
        <f>-Income!AS32</f>
        <v>0</v>
      </c>
      <c r="AT19" s="136">
        <f>-Income!AT32</f>
        <v>0</v>
      </c>
      <c r="AU19" s="113">
        <f>-Income!AU32</f>
        <v>0</v>
      </c>
      <c r="AV19" s="113">
        <f>-Income!AV32</f>
        <v>0</v>
      </c>
      <c r="AW19" s="113">
        <f>-Income!AW32</f>
        <v>0</v>
      </c>
      <c r="AX19" s="113">
        <f>-Income!AX32</f>
        <v>0</v>
      </c>
      <c r="AY19" s="113">
        <f>-Income!AY32</f>
        <v>0</v>
      </c>
      <c r="AZ19" s="113">
        <f>-Income!AZ32</f>
        <v>0</v>
      </c>
      <c r="BA19" s="113">
        <f>-Income!BA32</f>
        <v>0</v>
      </c>
      <c r="BB19" s="113">
        <f>-Income!BB32</f>
        <v>0</v>
      </c>
      <c r="BC19" s="113">
        <f>-Income!BC32</f>
        <v>0</v>
      </c>
      <c r="BD19" s="113">
        <f>-Income!BD32</f>
        <v>0</v>
      </c>
      <c r="BE19" s="113">
        <f>-Income!BE32</f>
        <v>0</v>
      </c>
      <c r="BF19" s="136">
        <f>-Income!BF32</f>
        <v>0</v>
      </c>
      <c r="BG19" s="113">
        <f>-Income!BG32</f>
        <v>0</v>
      </c>
      <c r="BH19" s="113">
        <f>-Income!BH32</f>
        <v>0</v>
      </c>
      <c r="BI19" s="113">
        <f>-Income!BI32</f>
        <v>0</v>
      </c>
      <c r="BJ19" s="113">
        <f>-Income!BJ32</f>
        <v>0</v>
      </c>
      <c r="BK19" s="113">
        <f>-Income!BK32</f>
        <v>0</v>
      </c>
      <c r="BL19" s="113">
        <f>-Income!BL32</f>
        <v>0</v>
      </c>
      <c r="BM19" s="113">
        <f>-Income!BM32</f>
        <v>0</v>
      </c>
      <c r="BN19" s="113">
        <f>-Income!BN32</f>
        <v>0</v>
      </c>
      <c r="BO19" s="113">
        <f>-Income!BO32</f>
        <v>0</v>
      </c>
      <c r="BP19" s="113">
        <f>-Income!BP32</f>
        <v>0</v>
      </c>
      <c r="BQ19" s="113">
        <f>-Income!BQ32</f>
        <v>0</v>
      </c>
      <c r="BR19" s="136">
        <f>-Income!BR32</f>
        <v>0</v>
      </c>
    </row>
    <row r="20" spans="1:76" s="125" customFormat="1" x14ac:dyDescent="0.3">
      <c r="A20" s="14"/>
      <c r="B20" s="101" t="s">
        <v>157</v>
      </c>
      <c r="C20" s="93"/>
      <c r="D20" s="93"/>
      <c r="E20" s="102">
        <f t="shared" si="0"/>
        <v>10</v>
      </c>
      <c r="F20" s="102">
        <f t="shared" si="1"/>
        <v>-100</v>
      </c>
      <c r="G20" s="102">
        <f t="shared" si="2"/>
        <v>0</v>
      </c>
      <c r="H20" s="102">
        <f t="shared" si="3"/>
        <v>0</v>
      </c>
      <c r="I20" s="102">
        <f t="shared" si="4"/>
        <v>0</v>
      </c>
      <c r="J20" s="102"/>
      <c r="K20" s="93">
        <f t="shared" ref="K20:AP20" si="9">SUM(K15:K19)</f>
        <v>0</v>
      </c>
      <c r="L20" s="93">
        <f t="shared" si="9"/>
        <v>0</v>
      </c>
      <c r="M20" s="93">
        <f t="shared" si="9"/>
        <v>0</v>
      </c>
      <c r="N20" s="93">
        <f t="shared" si="9"/>
        <v>0</v>
      </c>
      <c r="O20" s="93">
        <f t="shared" si="9"/>
        <v>0</v>
      </c>
      <c r="P20" s="93">
        <f t="shared" si="9"/>
        <v>-15</v>
      </c>
      <c r="Q20" s="93">
        <f t="shared" si="9"/>
        <v>0</v>
      </c>
      <c r="R20" s="93">
        <f t="shared" si="9"/>
        <v>0</v>
      </c>
      <c r="S20" s="93">
        <f t="shared" si="9"/>
        <v>25</v>
      </c>
      <c r="T20" s="93">
        <f t="shared" si="9"/>
        <v>0</v>
      </c>
      <c r="U20" s="93">
        <f t="shared" si="9"/>
        <v>0</v>
      </c>
      <c r="V20" s="102">
        <f t="shared" si="9"/>
        <v>0</v>
      </c>
      <c r="W20" s="93">
        <f t="shared" si="9"/>
        <v>0</v>
      </c>
      <c r="X20" s="93">
        <f t="shared" si="9"/>
        <v>0</v>
      </c>
      <c r="Y20" s="93">
        <f t="shared" si="9"/>
        <v>0</v>
      </c>
      <c r="Z20" s="93">
        <f t="shared" si="9"/>
        <v>0</v>
      </c>
      <c r="AA20" s="93">
        <f t="shared" si="9"/>
        <v>0</v>
      </c>
      <c r="AB20" s="93">
        <f t="shared" si="9"/>
        <v>-100</v>
      </c>
      <c r="AC20" s="93">
        <f t="shared" si="9"/>
        <v>0</v>
      </c>
      <c r="AD20" s="93">
        <f t="shared" si="9"/>
        <v>0</v>
      </c>
      <c r="AE20" s="93">
        <f t="shared" si="9"/>
        <v>0</v>
      </c>
      <c r="AF20" s="93">
        <f t="shared" si="9"/>
        <v>0</v>
      </c>
      <c r="AG20" s="93">
        <f t="shared" si="9"/>
        <v>0</v>
      </c>
      <c r="AH20" s="102">
        <f t="shared" si="9"/>
        <v>0</v>
      </c>
      <c r="AI20" s="93">
        <f t="shared" si="9"/>
        <v>0</v>
      </c>
      <c r="AJ20" s="93">
        <f t="shared" si="9"/>
        <v>0</v>
      </c>
      <c r="AK20" s="93">
        <f t="shared" si="9"/>
        <v>0</v>
      </c>
      <c r="AL20" s="93">
        <f t="shared" si="9"/>
        <v>0</v>
      </c>
      <c r="AM20" s="93">
        <f t="shared" si="9"/>
        <v>0</v>
      </c>
      <c r="AN20" s="93">
        <f t="shared" si="9"/>
        <v>0</v>
      </c>
      <c r="AO20" s="93">
        <f t="shared" si="9"/>
        <v>0</v>
      </c>
      <c r="AP20" s="93">
        <f t="shared" si="9"/>
        <v>0</v>
      </c>
      <c r="AQ20" s="93">
        <f t="shared" ref="AQ20:BR20" si="10">SUM(AQ15:AQ19)</f>
        <v>0</v>
      </c>
      <c r="AR20" s="93">
        <f t="shared" si="10"/>
        <v>0</v>
      </c>
      <c r="AS20" s="93">
        <f t="shared" si="10"/>
        <v>0</v>
      </c>
      <c r="AT20" s="102">
        <f t="shared" si="10"/>
        <v>0</v>
      </c>
      <c r="AU20" s="93">
        <f t="shared" si="10"/>
        <v>0</v>
      </c>
      <c r="AV20" s="93">
        <f t="shared" si="10"/>
        <v>0</v>
      </c>
      <c r="AW20" s="93">
        <f t="shared" si="10"/>
        <v>0</v>
      </c>
      <c r="AX20" s="93">
        <f t="shared" si="10"/>
        <v>0</v>
      </c>
      <c r="AY20" s="93">
        <f t="shared" si="10"/>
        <v>0</v>
      </c>
      <c r="AZ20" s="93">
        <f t="shared" si="10"/>
        <v>0</v>
      </c>
      <c r="BA20" s="93">
        <f t="shared" si="10"/>
        <v>0</v>
      </c>
      <c r="BB20" s="93">
        <f t="shared" si="10"/>
        <v>0</v>
      </c>
      <c r="BC20" s="93">
        <f t="shared" si="10"/>
        <v>0</v>
      </c>
      <c r="BD20" s="93">
        <f t="shared" si="10"/>
        <v>0</v>
      </c>
      <c r="BE20" s="93">
        <f t="shared" si="10"/>
        <v>0</v>
      </c>
      <c r="BF20" s="102">
        <f t="shared" si="10"/>
        <v>0</v>
      </c>
      <c r="BG20" s="93">
        <f t="shared" si="10"/>
        <v>0</v>
      </c>
      <c r="BH20" s="93">
        <f t="shared" si="10"/>
        <v>0</v>
      </c>
      <c r="BI20" s="93">
        <f t="shared" si="10"/>
        <v>0</v>
      </c>
      <c r="BJ20" s="93">
        <f t="shared" si="10"/>
        <v>0</v>
      </c>
      <c r="BK20" s="93">
        <f t="shared" si="10"/>
        <v>0</v>
      </c>
      <c r="BL20" s="93">
        <f t="shared" si="10"/>
        <v>0</v>
      </c>
      <c r="BM20" s="93">
        <f t="shared" si="10"/>
        <v>0</v>
      </c>
      <c r="BN20" s="93">
        <f t="shared" si="10"/>
        <v>0</v>
      </c>
      <c r="BO20" s="93">
        <f t="shared" si="10"/>
        <v>0</v>
      </c>
      <c r="BP20" s="93">
        <f t="shared" si="10"/>
        <v>0</v>
      </c>
      <c r="BQ20" s="93">
        <f t="shared" si="10"/>
        <v>0</v>
      </c>
      <c r="BR20" s="102">
        <f t="shared" si="10"/>
        <v>0</v>
      </c>
    </row>
    <row r="21" spans="1:76" ht="6" customHeight="1" x14ac:dyDescent="0.3"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  <c r="AM21" s="105"/>
      <c r="AN21" s="105"/>
      <c r="AO21" s="105"/>
      <c r="AP21" s="105"/>
      <c r="AQ21" s="105"/>
      <c r="AR21" s="105"/>
      <c r="AS21" s="105"/>
      <c r="AT21" s="105"/>
      <c r="AU21" s="105"/>
      <c r="AV21" s="105"/>
      <c r="AW21" s="105"/>
      <c r="AX21" s="105"/>
      <c r="AY21" s="105"/>
      <c r="AZ21" s="105"/>
      <c r="BA21" s="105"/>
      <c r="BB21" s="105"/>
      <c r="BC21" s="105"/>
      <c r="BD21" s="105"/>
      <c r="BE21" s="105"/>
      <c r="BF21" s="105"/>
      <c r="BG21" s="105"/>
      <c r="BH21" s="105"/>
      <c r="BI21" s="105"/>
      <c r="BJ21" s="105"/>
      <c r="BK21" s="105"/>
      <c r="BL21" s="105"/>
      <c r="BM21" s="105"/>
      <c r="BN21" s="105"/>
      <c r="BO21" s="105"/>
      <c r="BP21" s="105"/>
      <c r="BQ21" s="105"/>
      <c r="BR21" s="105"/>
      <c r="BS21" s="105"/>
      <c r="BT21" s="105"/>
      <c r="BU21" s="105"/>
      <c r="BV21" s="105"/>
      <c r="BW21" s="105"/>
      <c r="BX21" s="105"/>
    </row>
    <row r="22" spans="1:76" s="276" customFormat="1" x14ac:dyDescent="0.3">
      <c r="A22" s="273"/>
      <c r="B22" s="284" t="s">
        <v>234</v>
      </c>
      <c r="C22" s="274"/>
      <c r="D22" s="274"/>
      <c r="E22" s="275">
        <f t="shared" ca="1" si="0"/>
        <v>-15130.944281642462</v>
      </c>
      <c r="F22" s="275">
        <f t="shared" ca="1" si="1"/>
        <v>-1434.8173574857678</v>
      </c>
      <c r="G22" s="275">
        <f t="shared" ca="1" si="2"/>
        <v>608.53818134056382</v>
      </c>
      <c r="H22" s="275">
        <f t="shared" ca="1" si="3"/>
        <v>413.18099989557265</v>
      </c>
      <c r="I22" s="275">
        <f t="shared" ca="1" si="4"/>
        <v>867.63462605789391</v>
      </c>
      <c r="J22" s="275"/>
      <c r="K22" s="283">
        <f t="shared" ref="K22:AP22" ca="1" si="11">SUM(K9,K13,K20)</f>
        <v>-2418.1374971650675</v>
      </c>
      <c r="L22" s="283">
        <f t="shared" ca="1" si="11"/>
        <v>-2257.890793646714</v>
      </c>
      <c r="M22" s="283">
        <f t="shared" ca="1" si="11"/>
        <v>-2135.517371518662</v>
      </c>
      <c r="N22" s="283">
        <f t="shared" ca="1" si="11"/>
        <v>-1460.4865049744535</v>
      </c>
      <c r="O22" s="283">
        <f t="shared" ca="1" si="11"/>
        <v>-1128.8006581936309</v>
      </c>
      <c r="P22" s="283">
        <f t="shared" ca="1" si="11"/>
        <v>-1161.8811959942032</v>
      </c>
      <c r="Q22" s="283">
        <f t="shared" ca="1" si="11"/>
        <v>-971.59083287005456</v>
      </c>
      <c r="R22" s="283">
        <f t="shared" ca="1" si="11"/>
        <v>-933.91987198821528</v>
      </c>
      <c r="S22" s="283">
        <f t="shared" ca="1" si="11"/>
        <v>-777.17457640969667</v>
      </c>
      <c r="T22" s="283">
        <f t="shared" ca="1" si="11"/>
        <v>-718.31722158379034</v>
      </c>
      <c r="U22" s="283">
        <f t="shared" ca="1" si="11"/>
        <v>-641.85083452699951</v>
      </c>
      <c r="V22" s="275">
        <f t="shared" ca="1" si="11"/>
        <v>-525.37692277097449</v>
      </c>
      <c r="W22" s="283">
        <f t="shared" ca="1" si="11"/>
        <v>-479.98571523005688</v>
      </c>
      <c r="X22" s="283">
        <f t="shared" ca="1" si="11"/>
        <v>-392.67758060468975</v>
      </c>
      <c r="Y22" s="283">
        <f t="shared" ca="1" si="11"/>
        <v>-319.07667493446576</v>
      </c>
      <c r="Z22" s="283">
        <f t="shared" ca="1" si="11"/>
        <v>-229.79716173557622</v>
      </c>
      <c r="AA22" s="283">
        <f t="shared" ca="1" si="11"/>
        <v>-139.48080629520126</v>
      </c>
      <c r="AB22" s="283">
        <f t="shared" ca="1" si="11"/>
        <v>-161.93388442395187</v>
      </c>
      <c r="AC22" s="283">
        <f t="shared" ca="1" si="11"/>
        <v>-51.889593681535622</v>
      </c>
      <c r="AD22" s="283">
        <f t="shared" ca="1" si="11"/>
        <v>183.03800376282879</v>
      </c>
      <c r="AE22" s="283">
        <f t="shared" ca="1" si="11"/>
        <v>37.578684335443185</v>
      </c>
      <c r="AF22" s="283">
        <f t="shared" ca="1" si="11"/>
        <v>38.701548147151485</v>
      </c>
      <c r="AG22" s="283">
        <f t="shared" ca="1" si="11"/>
        <v>39.808153499564703</v>
      </c>
      <c r="AH22" s="275">
        <f t="shared" ca="1" si="11"/>
        <v>40.897669674721442</v>
      </c>
      <c r="AI22" s="283">
        <f t="shared" ca="1" si="11"/>
        <v>41.969244726265991</v>
      </c>
      <c r="AJ22" s="283">
        <f t="shared" ca="1" si="11"/>
        <v>59.559911832850098</v>
      </c>
      <c r="AK22" s="283">
        <f t="shared" ca="1" si="11"/>
        <v>59.761351212813381</v>
      </c>
      <c r="AL22" s="283">
        <f t="shared" ca="1" si="11"/>
        <v>59.932253817975997</v>
      </c>
      <c r="AM22" s="283">
        <f t="shared" ca="1" si="11"/>
        <v>-4.2346236432720303</v>
      </c>
      <c r="AN22" s="283">
        <f t="shared" ca="1" si="11"/>
        <v>54.683875491624548</v>
      </c>
      <c r="AO22" s="283">
        <f t="shared" ca="1" si="11"/>
        <v>55.09894545782884</v>
      </c>
      <c r="AP22" s="283">
        <f t="shared" ca="1" si="11"/>
        <v>55.515387141747638</v>
      </c>
      <c r="AQ22" s="283">
        <f t="shared" ref="AQ22:BR22" ca="1" si="12">SUM(AQ9,AQ13,AQ20)</f>
        <v>55.933156481190821</v>
      </c>
      <c r="AR22" s="283">
        <f t="shared" ca="1" si="12"/>
        <v>56.352208358876624</v>
      </c>
      <c r="AS22" s="283">
        <f t="shared" ca="1" si="12"/>
        <v>56.772496584730469</v>
      </c>
      <c r="AT22" s="275">
        <f t="shared" ca="1" si="12"/>
        <v>57.193973877931569</v>
      </c>
      <c r="AU22" s="283">
        <f t="shared" ca="1" si="12"/>
        <v>57.616591848659731</v>
      </c>
      <c r="AV22" s="283">
        <f t="shared" ca="1" si="12"/>
        <v>58.040300979604432</v>
      </c>
      <c r="AW22" s="283">
        <f t="shared" ca="1" si="12"/>
        <v>58.465050607144562</v>
      </c>
      <c r="AX22" s="283">
        <f t="shared" ca="1" si="12"/>
        <v>61.890788902287042</v>
      </c>
      <c r="AY22" s="283">
        <f t="shared" ca="1" si="12"/>
        <v>59.327212851298448</v>
      </c>
      <c r="AZ22" s="283">
        <f t="shared" ca="1" si="12"/>
        <v>-44.678781619207228</v>
      </c>
      <c r="BA22" s="283">
        <f t="shared" ca="1" si="12"/>
        <v>-44.315825491449267</v>
      </c>
      <c r="BB22" s="283">
        <f t="shared" ca="1" si="12"/>
        <v>-43.952756160264826</v>
      </c>
      <c r="BC22" s="283">
        <f t="shared" ca="1" si="12"/>
        <v>61.103660313171062</v>
      </c>
      <c r="BD22" s="283">
        <f t="shared" ca="1" si="12"/>
        <v>62.160329400802603</v>
      </c>
      <c r="BE22" s="283">
        <f t="shared" ca="1" si="12"/>
        <v>63.225425801694321</v>
      </c>
      <c r="BF22" s="275">
        <f t="shared" ca="1" si="12"/>
        <v>64.299002461831805</v>
      </c>
      <c r="BG22" s="283">
        <f t="shared" ca="1" si="12"/>
        <v>65.381112628161816</v>
      </c>
      <c r="BH22" s="283">
        <f t="shared" ca="1" si="12"/>
        <v>66.471809850191619</v>
      </c>
      <c r="BI22" s="283">
        <f t="shared" ca="1" si="12"/>
        <v>67.571147981659294</v>
      </c>
      <c r="BJ22" s="283">
        <f t="shared" ca="1" si="12"/>
        <v>68.679181182128616</v>
      </c>
      <c r="BK22" s="283">
        <f t="shared" ca="1" si="12"/>
        <v>69.795963918690433</v>
      </c>
      <c r="BL22" s="283">
        <f t="shared" ca="1" si="12"/>
        <v>70.921550967588701</v>
      </c>
      <c r="BM22" s="283">
        <f t="shared" ca="1" si="12"/>
        <v>81.055997415873961</v>
      </c>
      <c r="BN22" s="283">
        <f t="shared" ca="1" si="12"/>
        <v>73.228608663132121</v>
      </c>
      <c r="BO22" s="283">
        <f t="shared" ca="1" si="12"/>
        <v>74.381035485595902</v>
      </c>
      <c r="BP22" s="283">
        <f t="shared" ca="1" si="12"/>
        <v>75.542489159357132</v>
      </c>
      <c r="BQ22" s="283">
        <f t="shared" ca="1" si="12"/>
        <v>76.713026032620604</v>
      </c>
      <c r="BR22" s="275">
        <f t="shared" ca="1" si="12"/>
        <v>77.892702772893642</v>
      </c>
    </row>
    <row r="23" spans="1:76" s="125" customFormat="1" x14ac:dyDescent="0.3">
      <c r="A23" s="14"/>
      <c r="B23" s="284" t="s">
        <v>235</v>
      </c>
      <c r="C23" s="94"/>
      <c r="D23" s="94"/>
      <c r="E23" s="102">
        <f ca="1">Credit!E41</f>
        <v>-15130.944281642462</v>
      </c>
      <c r="F23" s="102">
        <f ca="1">Credit!F41</f>
        <v>-1434.8173574857656</v>
      </c>
      <c r="G23" s="102">
        <f ca="1">Credit!G41</f>
        <v>608.53818134056814</v>
      </c>
      <c r="H23" s="102">
        <f ca="1">Credit!H41</f>
        <v>413.18099989557766</v>
      </c>
      <c r="I23" s="102">
        <f ca="1">Credit!I41</f>
        <v>867.63462605790255</v>
      </c>
      <c r="J23" s="102">
        <f>Credit!J41</f>
        <v>0</v>
      </c>
      <c r="K23" s="93">
        <f ca="1">Credit!K41</f>
        <v>-2418.137497165068</v>
      </c>
      <c r="L23" s="93">
        <f ca="1">Credit!L41</f>
        <v>-2257.890793646714</v>
      </c>
      <c r="M23" s="93">
        <f ca="1">Credit!M41</f>
        <v>-2135.517371518662</v>
      </c>
      <c r="N23" s="93">
        <f ca="1">Credit!N41</f>
        <v>-1460.4865049744531</v>
      </c>
      <c r="O23" s="93">
        <f ca="1">Credit!O41</f>
        <v>-1128.8006581936302</v>
      </c>
      <c r="P23" s="93">
        <f ca="1">Credit!P41</f>
        <v>-1161.8811959942034</v>
      </c>
      <c r="Q23" s="93">
        <f ca="1">Credit!Q41</f>
        <v>-971.59083287005444</v>
      </c>
      <c r="R23" s="93">
        <f ca="1">Credit!R41</f>
        <v>-933.91987198821357</v>
      </c>
      <c r="S23" s="93">
        <f ca="1">Credit!S41</f>
        <v>-777.17457640969701</v>
      </c>
      <c r="T23" s="93">
        <f ca="1">Credit!T41</f>
        <v>-718.3172215837908</v>
      </c>
      <c r="U23" s="93">
        <f ca="1">Credit!U41</f>
        <v>-641.85083452700064</v>
      </c>
      <c r="V23" s="102">
        <f ca="1">Credit!V41</f>
        <v>-525.37692277097426</v>
      </c>
      <c r="W23" s="93">
        <f ca="1">Credit!W41</f>
        <v>-479.98571523005648</v>
      </c>
      <c r="X23" s="93">
        <f ca="1">Credit!X41</f>
        <v>-392.67758060469225</v>
      </c>
      <c r="Y23" s="93">
        <f ca="1">Credit!Y41</f>
        <v>-319.07667493446502</v>
      </c>
      <c r="Z23" s="93">
        <f ca="1">Credit!Z41</f>
        <v>-229.79716173557506</v>
      </c>
      <c r="AA23" s="93">
        <f ca="1">Credit!AA41</f>
        <v>-139.48080629520302</v>
      </c>
      <c r="AB23" s="93">
        <f ca="1">Credit!AB41</f>
        <v>-161.9338844239534</v>
      </c>
      <c r="AC23" s="93">
        <f ca="1">Credit!AC41</f>
        <v>-51.889593681535587</v>
      </c>
      <c r="AD23" s="93">
        <f ca="1">Credit!AD41</f>
        <v>183.03800376283266</v>
      </c>
      <c r="AE23" s="93">
        <f ca="1">Credit!AE41</f>
        <v>37.578684335441949</v>
      </c>
      <c r="AF23" s="93">
        <f ca="1">Credit!AF41</f>
        <v>38.701548147153005</v>
      </c>
      <c r="AG23" s="93">
        <f ca="1">Credit!AG41</f>
        <v>39.808153499566629</v>
      </c>
      <c r="AH23" s="102">
        <f ca="1">Credit!AH41</f>
        <v>40.897669674721442</v>
      </c>
      <c r="AI23" s="93">
        <f ca="1">Credit!AI41</f>
        <v>41.969244726265799</v>
      </c>
      <c r="AJ23" s="93">
        <f ca="1">Credit!AJ41</f>
        <v>59.559911832851867</v>
      </c>
      <c r="AK23" s="93">
        <f ca="1">Credit!AK41</f>
        <v>59.76135121281385</v>
      </c>
      <c r="AL23" s="93">
        <f ca="1">Credit!AL41</f>
        <v>59.932253817973105</v>
      </c>
      <c r="AM23" s="93">
        <f ca="1">Credit!AM41</f>
        <v>-4.2346236432710498</v>
      </c>
      <c r="AN23" s="93">
        <f ca="1">Credit!AN41</f>
        <v>54.683875491622871</v>
      </c>
      <c r="AO23" s="93">
        <f ca="1">Credit!AO41</f>
        <v>55.098945457829529</v>
      </c>
      <c r="AP23" s="93">
        <f ca="1">Credit!AP41</f>
        <v>55.515387141749954</v>
      </c>
      <c r="AQ23" s="93">
        <f ca="1">Credit!AQ41</f>
        <v>55.933156481192441</v>
      </c>
      <c r="AR23" s="93">
        <f ca="1">Credit!AR41</f>
        <v>56.352208358876965</v>
      </c>
      <c r="AS23" s="93">
        <f ca="1">Credit!AS41</f>
        <v>56.772496584731471</v>
      </c>
      <c r="AT23" s="102">
        <f ca="1">Credit!AT41</f>
        <v>57.193973877931228</v>
      </c>
      <c r="AU23" s="93">
        <f ca="1">Credit!AU41</f>
        <v>57.616591848661471</v>
      </c>
      <c r="AV23" s="93">
        <f ca="1">Credit!AV41</f>
        <v>58.040300979604467</v>
      </c>
      <c r="AW23" s="93">
        <f ca="1">Credit!AW41</f>
        <v>58.465050607143041</v>
      </c>
      <c r="AX23" s="93">
        <f ca="1">Credit!AX41</f>
        <v>61.890788902286658</v>
      </c>
      <c r="AY23" s="93">
        <f ca="1">Credit!AY41</f>
        <v>59.327212851298555</v>
      </c>
      <c r="AZ23" s="93">
        <f ca="1">Credit!AZ41</f>
        <v>-44.678781619207371</v>
      </c>
      <c r="BA23" s="93">
        <f ca="1">Credit!BA41</f>
        <v>-44.315825491446162</v>
      </c>
      <c r="BB23" s="93">
        <f ca="1">Credit!BB41</f>
        <v>-43.952756160263391</v>
      </c>
      <c r="BC23" s="93">
        <f ca="1">Credit!BC41</f>
        <v>61.103660313170508</v>
      </c>
      <c r="BD23" s="93">
        <f ca="1">Credit!BD41</f>
        <v>62.160329400800038</v>
      </c>
      <c r="BE23" s="93">
        <f ca="1">Credit!BE41</f>
        <v>63.225425801693916</v>
      </c>
      <c r="BF23" s="102">
        <f ca="1">Credit!BF41</f>
        <v>64.299002461835926</v>
      </c>
      <c r="BG23" s="93">
        <f ca="1">Credit!BG41</f>
        <v>65.381112628163237</v>
      </c>
      <c r="BH23" s="93">
        <f ca="1">Credit!BH41</f>
        <v>66.471809850194006</v>
      </c>
      <c r="BI23" s="93">
        <f ca="1">Credit!BI41</f>
        <v>67.571147981655884</v>
      </c>
      <c r="BJ23" s="93">
        <f ca="1">Credit!BJ41</f>
        <v>68.679181182127934</v>
      </c>
      <c r="BK23" s="93">
        <f ca="1">Credit!BK41</f>
        <v>69.795963918692451</v>
      </c>
      <c r="BL23" s="93">
        <f ca="1">Credit!BL41</f>
        <v>70.92155096758745</v>
      </c>
      <c r="BM23" s="93">
        <f ca="1">Credit!BM41</f>
        <v>81.055997415878323</v>
      </c>
      <c r="BN23" s="93">
        <f ca="1">Credit!BN41</f>
        <v>73.228608663132206</v>
      </c>
      <c r="BO23" s="93">
        <f ca="1">Credit!BO41</f>
        <v>74.381035485597749</v>
      </c>
      <c r="BP23" s="93">
        <f ca="1">Credit!BP41</f>
        <v>75.54248915935591</v>
      </c>
      <c r="BQ23" s="93">
        <f ca="1">Credit!BQ41</f>
        <v>76.713026032621201</v>
      </c>
      <c r="BR23" s="102">
        <f ca="1">Credit!BR41</f>
        <v>77.8927027728962</v>
      </c>
    </row>
    <row r="24" spans="1:76" s="130" customFormat="1" x14ac:dyDescent="0.3">
      <c r="A24" s="129"/>
      <c r="B24" s="286" t="s">
        <v>133</v>
      </c>
      <c r="C24" s="188"/>
      <c r="D24" s="188"/>
      <c r="E24" s="258" t="str">
        <f ca="1">IF(ABS(E23-E22)&lt;0.0001,"✔","✕")</f>
        <v>✔</v>
      </c>
      <c r="F24" s="258" t="str">
        <f ca="1">IF(ABS(F23-F22)&lt;0.0001,"✔","✕")</f>
        <v>✔</v>
      </c>
      <c r="G24" s="258" t="str">
        <f ca="1">IF(ABS(G23-G22)&lt;0.0001,"✔","✕")</f>
        <v>✔</v>
      </c>
      <c r="H24" s="258" t="str">
        <f ca="1">IF(ABS(H23-H22)&lt;0.0001,"✔","✕")</f>
        <v>✔</v>
      </c>
      <c r="I24" s="258" t="str">
        <f ca="1">IF(ABS(I23-I22)&lt;0.0001,"✔","✕")</f>
        <v>✔</v>
      </c>
      <c r="J24" s="258"/>
      <c r="K24" s="258" t="str">
        <f t="shared" ref="K24:AP24" ca="1" si="13">IF(ABS(K23-K22)&lt;0.0001,"✔","✕")</f>
        <v>✔</v>
      </c>
      <c r="L24" s="258" t="str">
        <f t="shared" ca="1" si="13"/>
        <v>✔</v>
      </c>
      <c r="M24" s="258" t="str">
        <f t="shared" ca="1" si="13"/>
        <v>✔</v>
      </c>
      <c r="N24" s="258" t="str">
        <f t="shared" ca="1" si="13"/>
        <v>✔</v>
      </c>
      <c r="O24" s="258" t="str">
        <f t="shared" ca="1" si="13"/>
        <v>✔</v>
      </c>
      <c r="P24" s="258" t="str">
        <f t="shared" ca="1" si="13"/>
        <v>✔</v>
      </c>
      <c r="Q24" s="258" t="str">
        <f t="shared" ca="1" si="13"/>
        <v>✔</v>
      </c>
      <c r="R24" s="258" t="str">
        <f t="shared" ca="1" si="13"/>
        <v>✔</v>
      </c>
      <c r="S24" s="258" t="str">
        <f t="shared" ca="1" si="13"/>
        <v>✔</v>
      </c>
      <c r="T24" s="258" t="str">
        <f t="shared" ca="1" si="13"/>
        <v>✔</v>
      </c>
      <c r="U24" s="258" t="str">
        <f t="shared" ca="1" si="13"/>
        <v>✔</v>
      </c>
      <c r="V24" s="258" t="str">
        <f t="shared" ca="1" si="13"/>
        <v>✔</v>
      </c>
      <c r="W24" s="258" t="str">
        <f t="shared" ca="1" si="13"/>
        <v>✔</v>
      </c>
      <c r="X24" s="258" t="str">
        <f t="shared" ca="1" si="13"/>
        <v>✔</v>
      </c>
      <c r="Y24" s="258" t="str">
        <f t="shared" ca="1" si="13"/>
        <v>✔</v>
      </c>
      <c r="Z24" s="258" t="str">
        <f t="shared" ca="1" si="13"/>
        <v>✔</v>
      </c>
      <c r="AA24" s="258" t="str">
        <f t="shared" ca="1" si="13"/>
        <v>✔</v>
      </c>
      <c r="AB24" s="258" t="str">
        <f t="shared" ca="1" si="13"/>
        <v>✔</v>
      </c>
      <c r="AC24" s="258" t="str">
        <f t="shared" ca="1" si="13"/>
        <v>✔</v>
      </c>
      <c r="AD24" s="258" t="str">
        <f t="shared" ca="1" si="13"/>
        <v>✔</v>
      </c>
      <c r="AE24" s="258" t="str">
        <f t="shared" ca="1" si="13"/>
        <v>✔</v>
      </c>
      <c r="AF24" s="258" t="str">
        <f t="shared" ca="1" si="13"/>
        <v>✔</v>
      </c>
      <c r="AG24" s="258" t="str">
        <f t="shared" ca="1" si="13"/>
        <v>✔</v>
      </c>
      <c r="AH24" s="258" t="str">
        <f t="shared" ca="1" si="13"/>
        <v>✔</v>
      </c>
      <c r="AI24" s="258" t="str">
        <f t="shared" ca="1" si="13"/>
        <v>✔</v>
      </c>
      <c r="AJ24" s="258" t="str">
        <f t="shared" ca="1" si="13"/>
        <v>✔</v>
      </c>
      <c r="AK24" s="258" t="str">
        <f t="shared" ca="1" si="13"/>
        <v>✔</v>
      </c>
      <c r="AL24" s="258" t="str">
        <f t="shared" ca="1" si="13"/>
        <v>✔</v>
      </c>
      <c r="AM24" s="258" t="str">
        <f t="shared" ca="1" si="13"/>
        <v>✔</v>
      </c>
      <c r="AN24" s="258" t="str">
        <f t="shared" ca="1" si="13"/>
        <v>✔</v>
      </c>
      <c r="AO24" s="258" t="str">
        <f t="shared" ca="1" si="13"/>
        <v>✔</v>
      </c>
      <c r="AP24" s="258" t="str">
        <f t="shared" ca="1" si="13"/>
        <v>✔</v>
      </c>
      <c r="AQ24" s="258" t="str">
        <f t="shared" ref="AQ24:BR24" ca="1" si="14">IF(ABS(AQ23-AQ22)&lt;0.0001,"✔","✕")</f>
        <v>✔</v>
      </c>
      <c r="AR24" s="258" t="str">
        <f t="shared" ca="1" si="14"/>
        <v>✔</v>
      </c>
      <c r="AS24" s="258" t="str">
        <f t="shared" ca="1" si="14"/>
        <v>✔</v>
      </c>
      <c r="AT24" s="258" t="str">
        <f t="shared" ca="1" si="14"/>
        <v>✔</v>
      </c>
      <c r="AU24" s="258" t="str">
        <f t="shared" ca="1" si="14"/>
        <v>✔</v>
      </c>
      <c r="AV24" s="258" t="str">
        <f t="shared" ca="1" si="14"/>
        <v>✔</v>
      </c>
      <c r="AW24" s="258" t="str">
        <f t="shared" ca="1" si="14"/>
        <v>✔</v>
      </c>
      <c r="AX24" s="258" t="str">
        <f t="shared" ca="1" si="14"/>
        <v>✔</v>
      </c>
      <c r="AY24" s="258" t="str">
        <f t="shared" ca="1" si="14"/>
        <v>✔</v>
      </c>
      <c r="AZ24" s="258" t="str">
        <f t="shared" ca="1" si="14"/>
        <v>✔</v>
      </c>
      <c r="BA24" s="258" t="str">
        <f t="shared" ca="1" si="14"/>
        <v>✔</v>
      </c>
      <c r="BB24" s="258" t="str">
        <f t="shared" ca="1" si="14"/>
        <v>✔</v>
      </c>
      <c r="BC24" s="258" t="str">
        <f t="shared" ca="1" si="14"/>
        <v>✔</v>
      </c>
      <c r="BD24" s="258" t="str">
        <f t="shared" ca="1" si="14"/>
        <v>✔</v>
      </c>
      <c r="BE24" s="258" t="str">
        <f t="shared" ca="1" si="14"/>
        <v>✔</v>
      </c>
      <c r="BF24" s="258" t="str">
        <f t="shared" ca="1" si="14"/>
        <v>✔</v>
      </c>
      <c r="BG24" s="258" t="str">
        <f t="shared" ca="1" si="14"/>
        <v>✔</v>
      </c>
      <c r="BH24" s="258" t="str">
        <f t="shared" ca="1" si="14"/>
        <v>✔</v>
      </c>
      <c r="BI24" s="258" t="str">
        <f t="shared" ca="1" si="14"/>
        <v>✔</v>
      </c>
      <c r="BJ24" s="258" t="str">
        <f t="shared" ca="1" si="14"/>
        <v>✔</v>
      </c>
      <c r="BK24" s="258" t="str">
        <f t="shared" ca="1" si="14"/>
        <v>✔</v>
      </c>
      <c r="BL24" s="258" t="str">
        <f t="shared" ca="1" si="14"/>
        <v>✔</v>
      </c>
      <c r="BM24" s="258" t="str">
        <f t="shared" ca="1" si="14"/>
        <v>✔</v>
      </c>
      <c r="BN24" s="258" t="str">
        <f t="shared" ca="1" si="14"/>
        <v>✔</v>
      </c>
      <c r="BO24" s="258" t="str">
        <f t="shared" ca="1" si="14"/>
        <v>✔</v>
      </c>
      <c r="BP24" s="258" t="str">
        <f t="shared" ca="1" si="14"/>
        <v>✔</v>
      </c>
      <c r="BQ24" s="258" t="str">
        <f t="shared" ca="1" si="14"/>
        <v>✔</v>
      </c>
      <c r="BR24" s="258" t="str">
        <f t="shared" ca="1" si="14"/>
        <v>✔</v>
      </c>
    </row>
    <row r="25" spans="1:76" ht="6" customHeight="1" x14ac:dyDescent="0.3"/>
    <row r="26" spans="1:76" s="105" customFormat="1" x14ac:dyDescent="0.3">
      <c r="A26" s="6"/>
      <c r="B26" s="104" t="s">
        <v>236</v>
      </c>
      <c r="E26" s="278" cm="1">
        <f t="array" ref="E26">(SUM(Balance!E28:I28)/5)/SUM((Balance!E28:I29)/5)*RatePreferred+(SUM(Balance!E29:I29)/5)/SUM((Balance!E28:I29)/5)*RateCommon</f>
        <v>0.12937499999999999</v>
      </c>
    </row>
    <row r="27" spans="1:76" s="105" customFormat="1" x14ac:dyDescent="0.3">
      <c r="A27" s="6"/>
      <c r="B27" s="138" t="s">
        <v>159</v>
      </c>
      <c r="C27" s="94"/>
      <c r="D27" s="94"/>
      <c r="E27" s="122">
        <f ca="1">SUM(K27:V27)</f>
        <v>-14419.264738683312</v>
      </c>
      <c r="F27" s="122">
        <f t="shared" ref="F27" ca="1" si="15">SUM(W27:AH27)</f>
        <v>-1168.3021397411919</v>
      </c>
      <c r="G27" s="122">
        <f t="shared" ref="G27" ca="1" si="16">SUM(AI27:AT27)</f>
        <v>445.92717721821703</v>
      </c>
      <c r="H27" s="122">
        <f t="shared" ref="H27" ca="1" si="17">SUM(AU27:BF27)</f>
        <v>269.36964625888555</v>
      </c>
      <c r="I27" s="122">
        <f t="shared" ref="I27" ca="1" si="18">SUM(BG27:BR27)</f>
        <v>498.62890058231807</v>
      </c>
      <c r="J27" s="94"/>
      <c r="K27" s="123">
        <f t="shared" ref="K27:AP27" ca="1" si="19">SUM(K22,-K20)/((1+WACC) ^  (K3/12))</f>
        <v>-2393.7445951678556</v>
      </c>
      <c r="L27" s="123">
        <f t="shared" ca="1" si="19"/>
        <v>-2212.5677154876607</v>
      </c>
      <c r="M27" s="123">
        <f t="shared" ca="1" si="19"/>
        <v>-2071.541156509978</v>
      </c>
      <c r="N27" s="123">
        <f t="shared" ca="1" si="19"/>
        <v>-1402.4417277044729</v>
      </c>
      <c r="O27" s="123">
        <f t="shared" ca="1" si="19"/>
        <v>-1073.0040219842688</v>
      </c>
      <c r="P27" s="123">
        <f t="shared" ca="1" si="19"/>
        <v>-1079.1935654557842</v>
      </c>
      <c r="Q27" s="123">
        <f t="shared" ca="1" si="19"/>
        <v>-905.02618074778377</v>
      </c>
      <c r="R27" s="123">
        <f t="shared" ca="1" si="19"/>
        <v>-861.16063601005067</v>
      </c>
      <c r="S27" s="123">
        <f t="shared" ca="1" si="19"/>
        <v>-732.21777293586422</v>
      </c>
      <c r="T27" s="123">
        <f t="shared" ca="1" si="19"/>
        <v>-649.05943960900186</v>
      </c>
      <c r="U27" s="123">
        <f t="shared" ca="1" si="19"/>
        <v>-574.11530037797479</v>
      </c>
      <c r="V27" s="122">
        <f t="shared" ca="1" si="19"/>
        <v>-465.19262669261713</v>
      </c>
      <c r="W27" s="123">
        <f t="shared" ca="1" si="19"/>
        <v>-420.71399777610793</v>
      </c>
      <c r="X27" s="123">
        <f t="shared" ca="1" si="19"/>
        <v>-340.71525193850192</v>
      </c>
      <c r="Y27" s="123">
        <f t="shared" ca="1" si="19"/>
        <v>-274.06106766462869</v>
      </c>
      <c r="Z27" s="123">
        <f t="shared" ca="1" si="19"/>
        <v>-195.38614628405693</v>
      </c>
      <c r="AA27" s="123">
        <f t="shared" ca="1" si="19"/>
        <v>-117.39791265868013</v>
      </c>
      <c r="AB27" s="123">
        <f t="shared" ca="1" si="19"/>
        <v>-51.602538254261852</v>
      </c>
      <c r="AC27" s="123">
        <f t="shared" ca="1" si="19"/>
        <v>-42.797641284384788</v>
      </c>
      <c r="AD27" s="123">
        <f t="shared" ca="1" si="19"/>
        <v>149.44371468045534</v>
      </c>
      <c r="AE27" s="123">
        <f t="shared" ca="1" si="19"/>
        <v>30.372096679789021</v>
      </c>
      <c r="AF27" s="123">
        <f t="shared" ca="1" si="19"/>
        <v>30.964092769134993</v>
      </c>
      <c r="AG27" s="123">
        <f t="shared" ca="1" si="19"/>
        <v>31.528178039627434</v>
      </c>
      <c r="AH27" s="122">
        <f t="shared" ca="1" si="19"/>
        <v>32.064333950423652</v>
      </c>
      <c r="AI27" s="123">
        <f t="shared" ca="1" si="19"/>
        <v>32.572540528932514</v>
      </c>
      <c r="AJ27" s="123">
        <f t="shared" ca="1" si="19"/>
        <v>45.758454191334451</v>
      </c>
      <c r="AK27" s="123">
        <f t="shared" ca="1" si="19"/>
        <v>45.450066824358636</v>
      </c>
      <c r="AL27" s="123">
        <f t="shared" ca="1" si="19"/>
        <v>45.120255164759648</v>
      </c>
      <c r="AM27" s="123">
        <f t="shared" ca="1" si="19"/>
        <v>-3.1558952086983054</v>
      </c>
      <c r="AN27" s="123">
        <f t="shared" ca="1" si="19"/>
        <v>40.342597848939945</v>
      </c>
      <c r="AO27" s="123">
        <f t="shared" ca="1" si="19"/>
        <v>40.238768555997936</v>
      </c>
      <c r="AP27" s="123">
        <f t="shared" ca="1" si="19"/>
        <v>40.133920526257818</v>
      </c>
      <c r="AQ27" s="123">
        <f t="shared" ref="AQ27:BR27" ca="1" si="20">SUM(AQ22,-AQ20)/((1+WACC) ^  (AQ3/12))</f>
        <v>40.028043342011344</v>
      </c>
      <c r="AR27" s="123">
        <f t="shared" ca="1" si="20"/>
        <v>39.921126889020108</v>
      </c>
      <c r="AS27" s="123">
        <f t="shared" ca="1" si="20"/>
        <v>39.813161351015445</v>
      </c>
      <c r="AT27" s="122">
        <f t="shared" ca="1" si="20"/>
        <v>39.704137204287491</v>
      </c>
      <c r="AU27" s="123">
        <f t="shared" ca="1" si="20"/>
        <v>39.594045212331906</v>
      </c>
      <c r="AV27" s="123">
        <f t="shared" ca="1" si="20"/>
        <v>39.48287642059914</v>
      </c>
      <c r="AW27" s="123">
        <f t="shared" ca="1" si="20"/>
        <v>39.370622151284756</v>
      </c>
      <c r="AX27" s="123">
        <f t="shared" ca="1" si="20"/>
        <v>41.257108338871987</v>
      </c>
      <c r="AY27" s="123">
        <f t="shared" ca="1" si="20"/>
        <v>39.149257720293299</v>
      </c>
      <c r="AZ27" s="123">
        <f t="shared" ca="1" si="20"/>
        <v>-29.185539573073225</v>
      </c>
      <c r="BA27" s="123">
        <f t="shared" ca="1" si="20"/>
        <v>-28.656428860423187</v>
      </c>
      <c r="BB27" s="123">
        <f t="shared" ca="1" si="20"/>
        <v>-28.134950629097762</v>
      </c>
      <c r="BC27" s="123">
        <f t="shared" ca="1" si="20"/>
        <v>38.718996198342509</v>
      </c>
      <c r="BD27" s="123">
        <f t="shared" ca="1" si="20"/>
        <v>38.991234828753882</v>
      </c>
      <c r="BE27" s="123">
        <f t="shared" ca="1" si="20"/>
        <v>39.259273989691117</v>
      </c>
      <c r="BF27" s="122">
        <f t="shared" ca="1" si="20"/>
        <v>39.523150461311133</v>
      </c>
      <c r="BG27" s="123">
        <f t="shared" ca="1" si="20"/>
        <v>39.782900768080765</v>
      </c>
      <c r="BH27" s="123">
        <f t="shared" ca="1" si="20"/>
        <v>40.03856118017768</v>
      </c>
      <c r="BI27" s="123">
        <f t="shared" ca="1" si="20"/>
        <v>40.290167714924877</v>
      </c>
      <c r="BJ27" s="123">
        <f t="shared" ca="1" si="20"/>
        <v>40.537756138169577</v>
      </c>
      <c r="BK27" s="123">
        <f t="shared" ca="1" si="20"/>
        <v>40.781361965716378</v>
      </c>
      <c r="BL27" s="123">
        <f t="shared" ca="1" si="20"/>
        <v>41.021020464705401</v>
      </c>
      <c r="BM27" s="123">
        <f t="shared" ca="1" si="20"/>
        <v>46.409854714440165</v>
      </c>
      <c r="BN27" s="123">
        <f t="shared" ca="1" si="20"/>
        <v>41.505213906430185</v>
      </c>
      <c r="BO27" s="123">
        <f t="shared" ca="1" si="20"/>
        <v>41.733125657554822</v>
      </c>
      <c r="BP27" s="123">
        <f t="shared" ca="1" si="20"/>
        <v>41.957229472359849</v>
      </c>
      <c r="BQ27" s="123">
        <f t="shared" ca="1" si="20"/>
        <v>42.177559390092526</v>
      </c>
      <c r="BR27" s="122">
        <f t="shared" ca="1" si="20"/>
        <v>42.394149209665834</v>
      </c>
    </row>
    <row r="28" spans="1:76" x14ac:dyDescent="0.3">
      <c r="B28" s="250" t="s">
        <v>231</v>
      </c>
      <c r="E28" s="277">
        <f ca="1">SUM(K27:BR27)</f>
        <v>-14373.641154365079</v>
      </c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  <c r="AG28" s="105"/>
      <c r="AH28" s="105"/>
      <c r="AI28" s="105"/>
      <c r="AJ28" s="105"/>
      <c r="AK28" s="105"/>
      <c r="AL28" s="105"/>
      <c r="AM28" s="105"/>
      <c r="AN28" s="105"/>
      <c r="AO28" s="105"/>
      <c r="AP28" s="105"/>
      <c r="AQ28" s="105"/>
      <c r="AR28" s="105"/>
      <c r="AS28" s="105"/>
      <c r="AT28" s="105"/>
      <c r="AU28" s="105"/>
      <c r="AV28" s="105"/>
      <c r="AW28" s="105"/>
      <c r="AX28" s="105"/>
      <c r="AY28" s="105"/>
      <c r="AZ28" s="105"/>
      <c r="BA28" s="105"/>
      <c r="BB28" s="105"/>
      <c r="BC28" s="105"/>
      <c r="BD28" s="105"/>
      <c r="BE28" s="105"/>
      <c r="BF28" s="105"/>
      <c r="BG28" s="105"/>
      <c r="BH28" s="105"/>
      <c r="BI28" s="105"/>
      <c r="BJ28" s="105"/>
      <c r="BK28" s="105"/>
      <c r="BL28" s="105"/>
      <c r="BM28" s="105"/>
      <c r="BN28" s="105"/>
      <c r="BO28" s="105"/>
      <c r="BP28" s="105"/>
      <c r="BQ28" s="105"/>
      <c r="BR28" s="105"/>
      <c r="BS28" s="105"/>
      <c r="BT28" s="105"/>
      <c r="BU28" s="105"/>
      <c r="BV28" s="105"/>
      <c r="BW28" s="105"/>
      <c r="BX28" s="105"/>
    </row>
    <row r="29" spans="1:76" ht="6" customHeight="1" x14ac:dyDescent="0.3"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5"/>
      <c r="AM29" s="105"/>
      <c r="AN29" s="105"/>
      <c r="AO29" s="105"/>
      <c r="AP29" s="105"/>
      <c r="AQ29" s="105"/>
      <c r="AR29" s="105"/>
      <c r="AS29" s="105"/>
      <c r="AT29" s="105"/>
      <c r="AU29" s="105"/>
      <c r="AV29" s="105"/>
      <c r="AW29" s="105"/>
      <c r="AX29" s="105"/>
      <c r="AY29" s="105"/>
      <c r="AZ29" s="105"/>
      <c r="BA29" s="105"/>
      <c r="BB29" s="105"/>
      <c r="BC29" s="105"/>
      <c r="BD29" s="105"/>
      <c r="BE29" s="105"/>
      <c r="BF29" s="105"/>
      <c r="BG29" s="105"/>
      <c r="BH29" s="105"/>
      <c r="BI29" s="105"/>
      <c r="BJ29" s="105"/>
      <c r="BK29" s="105"/>
      <c r="BL29" s="105"/>
      <c r="BM29" s="105"/>
      <c r="BN29" s="105"/>
      <c r="BO29" s="105"/>
      <c r="BP29" s="105"/>
      <c r="BQ29" s="105"/>
      <c r="BR29" s="105"/>
      <c r="BS29" s="105"/>
      <c r="BT29" s="105"/>
      <c r="BU29" s="105"/>
      <c r="BV29" s="105"/>
      <c r="BW29" s="105"/>
      <c r="BX29" s="105"/>
    </row>
    <row r="30" spans="1:76" x14ac:dyDescent="0.3">
      <c r="B30" s="279" t="s">
        <v>232</v>
      </c>
      <c r="E30" s="226">
        <f ca="1">((SUM(BG22:BR22)-SUM(BG20:BR20))  *  (1+ValTerminal)  /  (WACC-ValTerminal))</f>
        <v>8091.3126270084749</v>
      </c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5"/>
      <c r="AP30" s="105"/>
      <c r="AQ30" s="105"/>
      <c r="AR30" s="105"/>
      <c r="AS30" s="105"/>
      <c r="AT30" s="105"/>
      <c r="AU30" s="105"/>
      <c r="AV30" s="105"/>
      <c r="AW30" s="105"/>
      <c r="AX30" s="105"/>
      <c r="AY30" s="105"/>
      <c r="AZ30" s="105"/>
      <c r="BA30" s="105"/>
      <c r="BB30" s="105"/>
      <c r="BC30" s="105"/>
      <c r="BD30" s="105"/>
      <c r="BE30" s="105"/>
      <c r="BF30" s="105"/>
      <c r="BG30" s="105"/>
      <c r="BH30" s="105"/>
      <c r="BI30" s="105"/>
      <c r="BJ30" s="105"/>
      <c r="BK30" s="105"/>
      <c r="BL30" s="105"/>
      <c r="BM30" s="105"/>
      <c r="BN30" s="105"/>
      <c r="BO30" s="105"/>
      <c r="BP30" s="105"/>
      <c r="BQ30" s="105"/>
      <c r="BR30" s="105"/>
      <c r="BS30" s="105"/>
      <c r="BT30" s="105"/>
      <c r="BU30" s="105"/>
      <c r="BV30" s="105"/>
      <c r="BW30" s="105"/>
      <c r="BX30" s="105"/>
    </row>
    <row r="31" spans="1:76" x14ac:dyDescent="0.3">
      <c r="B31" s="280" t="s">
        <v>233</v>
      </c>
      <c r="E31" s="281">
        <f ca="1">E30/(1+WACC)^5</f>
        <v>4403.8055247817338</v>
      </c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</row>
    <row r="32" spans="1:76" s="105" customFormat="1" x14ac:dyDescent="0.3">
      <c r="A32" s="6"/>
      <c r="B32" s="271" t="s">
        <v>158</v>
      </c>
      <c r="C32" s="5"/>
      <c r="D32" s="5"/>
      <c r="E32" s="297">
        <f ca="1">SUM(E28:E31)</f>
        <v>-1878.5230025748706</v>
      </c>
      <c r="F32" s="272"/>
      <c r="G32" s="272"/>
      <c r="H32" s="272"/>
      <c r="I32" s="272"/>
      <c r="J32" s="272"/>
      <c r="K32" s="272"/>
      <c r="L32" s="272"/>
      <c r="M32" s="272"/>
      <c r="N32" s="272"/>
      <c r="O32" s="272"/>
      <c r="P32" s="272"/>
      <c r="Q32" s="272"/>
      <c r="R32" s="272"/>
      <c r="S32" s="272"/>
      <c r="T32" s="272"/>
      <c r="U32" s="272"/>
      <c r="V32" s="272"/>
      <c r="W32" s="272"/>
      <c r="X32" s="272"/>
      <c r="Y32" s="272"/>
      <c r="Z32" s="272"/>
      <c r="AA32" s="272"/>
      <c r="AB32" s="272"/>
      <c r="AC32" s="272"/>
      <c r="AD32" s="272"/>
      <c r="AE32" s="272"/>
      <c r="AF32" s="272"/>
      <c r="AG32" s="272"/>
      <c r="AH32" s="272"/>
      <c r="AI32" s="272"/>
      <c r="AJ32" s="272"/>
      <c r="AK32" s="272"/>
      <c r="AL32" s="272"/>
      <c r="AM32" s="272"/>
      <c r="AN32" s="272"/>
      <c r="AO32" s="272"/>
      <c r="AP32" s="272"/>
      <c r="AQ32" s="272"/>
      <c r="AR32" s="272"/>
      <c r="AS32" s="272"/>
      <c r="AT32" s="272"/>
      <c r="AU32" s="272"/>
      <c r="AV32" s="272"/>
      <c r="AW32" s="272"/>
      <c r="AX32" s="272"/>
      <c r="AY32" s="272"/>
      <c r="AZ32" s="272"/>
      <c r="BA32" s="272"/>
      <c r="BB32" s="272"/>
      <c r="BC32" s="272"/>
      <c r="BD32" s="272"/>
      <c r="BE32" s="272"/>
      <c r="BF32" s="272"/>
      <c r="BG32" s="272"/>
      <c r="BH32" s="272"/>
      <c r="BI32" s="272"/>
      <c r="BJ32" s="272"/>
      <c r="BK32" s="272"/>
      <c r="BL32" s="272"/>
      <c r="BM32" s="272"/>
      <c r="BN32" s="272"/>
      <c r="BO32" s="272"/>
      <c r="BP32" s="272"/>
      <c r="BQ32" s="272"/>
      <c r="BR32" s="272"/>
    </row>
    <row r="33" spans="1:2" s="105" customFormat="1" x14ac:dyDescent="0.3">
      <c r="A33" s="6"/>
      <c r="B33" s="282"/>
    </row>
    <row r="36" spans="1:2" x14ac:dyDescent="0.3">
      <c r="B36" s="5"/>
    </row>
    <row r="38" spans="1:2" x14ac:dyDescent="0.3">
      <c r="B38" s="235"/>
    </row>
  </sheetData>
  <sheetProtection algorithmName="SHA-512" hashValue="nRNl56eKM+2vNrE3vV8f3O0o0jdS++FtNK5N4TGyIJQelEwm951ELK08fNdofLvRhTOnwY2YybVTzzZIQsH5vQ==" saltValue="YR4Mb9i/sTrKzKrbftgqHA==" spinCount="100000" sheet="1" objects="1" scenarios="1" selectLockedCells="1" selectUnlockedCells="1"/>
  <conditionalFormatting sqref="E24:BR24">
    <cfRule type="expression" dxfId="0" priority="1">
      <formula>IF(E24="✕",TRUE,FALSE)</formula>
    </cfRule>
  </conditionalFormatting>
  <printOptions horizontalCentered="1"/>
  <pageMargins left="0.5" right="0.5" top="0.75" bottom="0.5" header="0.3" footer="0.55000000000000004"/>
  <pageSetup fitToWidth="5" orientation="landscape" r:id="rId1"/>
  <headerFooter scaleWithDoc="0" alignWithMargins="0">
    <oddFooter>&amp;L&amp;10Cash Flow Statement p.&amp;P of &amp;N&amp;R&amp;10Updated &amp;D</oddFooter>
  </headerFooter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5AC6D-ED6D-4C24-AE5C-583D784F6568}">
  <sheetPr>
    <tabColor theme="0"/>
    <pageSetUpPr fitToPage="1"/>
  </sheetPr>
  <dimension ref="A1:V36"/>
  <sheetViews>
    <sheetView showGridLines="0" showRowColHeaders="0" showZeros="0" zoomScaleNormal="100" zoomScaleSheetLayoutView="100" workbookViewId="0"/>
  </sheetViews>
  <sheetFormatPr defaultColWidth="9.109375" defaultRowHeight="13.2" x14ac:dyDescent="0.3"/>
  <cols>
    <col min="1" max="1" width="3" style="6" customWidth="1"/>
    <col min="2" max="2" width="21.6640625" style="150" customWidth="1"/>
    <col min="3" max="3" width="1.33203125" style="143" customWidth="1"/>
    <col min="4" max="4" width="8.33203125" style="151" customWidth="1"/>
    <col min="5" max="5" width="1.6640625" style="151" customWidth="1"/>
    <col min="6" max="6" width="8.33203125" style="152" customWidth="1"/>
    <col min="7" max="7" width="8.33203125" style="144" customWidth="1"/>
    <col min="8" max="8" width="6.109375" style="145" customWidth="1"/>
    <col min="9" max="9" width="1.6640625" style="151" customWidth="1"/>
    <col min="10" max="10" width="8.33203125" style="152" customWidth="1"/>
    <col min="11" max="11" width="8.33203125" style="144" customWidth="1"/>
    <col min="12" max="12" width="6.109375" style="145" customWidth="1"/>
    <col min="13" max="13" width="1.6640625" style="151" customWidth="1"/>
    <col min="14" max="14" width="8.33203125" style="152" customWidth="1"/>
    <col min="15" max="15" width="8.33203125" style="144" customWidth="1"/>
    <col min="16" max="16" width="6.109375" style="145" customWidth="1"/>
    <col min="17" max="17" width="1.6640625" style="151" customWidth="1"/>
    <col min="18" max="18" width="8.33203125" style="152" customWidth="1"/>
    <col min="19" max="19" width="8.33203125" style="144" customWidth="1"/>
    <col min="20" max="20" width="6.109375" style="145" customWidth="1"/>
    <col min="21" max="16384" width="9.109375" style="143"/>
  </cols>
  <sheetData>
    <row r="1" spans="1:20" s="89" customFormat="1" ht="10.199999999999999" x14ac:dyDescent="0.2">
      <c r="A1" s="1" t="s">
        <v>0</v>
      </c>
      <c r="D1" s="3"/>
      <c r="E1" s="3"/>
      <c r="F1" s="118"/>
      <c r="G1" s="140"/>
      <c r="H1" s="141"/>
      <c r="I1" s="3"/>
      <c r="J1" s="118"/>
      <c r="K1" s="140"/>
      <c r="L1" s="141"/>
      <c r="M1" s="3"/>
      <c r="N1" s="118"/>
      <c r="O1" s="140"/>
      <c r="P1" s="141"/>
      <c r="Q1" s="3"/>
      <c r="R1" s="118"/>
      <c r="S1" s="140"/>
      <c r="T1" s="141"/>
    </row>
    <row r="2" spans="1:20" s="5" customFormat="1" ht="22.8" customHeight="1" x14ac:dyDescent="0.3">
      <c r="A2" s="3"/>
      <c r="B2" s="4"/>
    </row>
    <row r="3" spans="1:20" s="142" customFormat="1" ht="21" x14ac:dyDescent="0.4">
      <c r="A3" s="168"/>
      <c r="B3" s="91" t="s">
        <v>160</v>
      </c>
      <c r="D3" s="169" t="s">
        <v>33</v>
      </c>
      <c r="E3" s="170"/>
      <c r="F3" s="169" t="s">
        <v>161</v>
      </c>
      <c r="G3" s="171" t="s">
        <v>34</v>
      </c>
      <c r="H3" s="172" t="s">
        <v>162</v>
      </c>
      <c r="I3" s="170"/>
      <c r="J3" s="169" t="s">
        <v>163</v>
      </c>
      <c r="K3" s="171" t="s">
        <v>34</v>
      </c>
      <c r="L3" s="172" t="s">
        <v>162</v>
      </c>
      <c r="M3" s="170"/>
      <c r="N3" s="169" t="s">
        <v>164</v>
      </c>
      <c r="O3" s="171" t="s">
        <v>34</v>
      </c>
      <c r="P3" s="172" t="s">
        <v>162</v>
      </c>
      <c r="Q3" s="170"/>
      <c r="R3" s="169" t="s">
        <v>165</v>
      </c>
      <c r="S3" s="171" t="s">
        <v>34</v>
      </c>
      <c r="T3" s="172" t="s">
        <v>162</v>
      </c>
    </row>
    <row r="4" spans="1:20" s="5" customFormat="1" ht="6" customHeight="1" x14ac:dyDescent="0.3">
      <c r="A4" s="3"/>
      <c r="B4" s="4"/>
    </row>
    <row r="5" spans="1:20" s="146" customFormat="1" x14ac:dyDescent="0.3">
      <c r="A5" s="14"/>
      <c r="B5" s="305" t="s">
        <v>7</v>
      </c>
      <c r="D5" s="144"/>
      <c r="E5" s="144"/>
      <c r="F5" s="144"/>
      <c r="G5" s="144"/>
      <c r="H5" s="148"/>
      <c r="I5" s="144"/>
      <c r="J5" s="144"/>
      <c r="K5" s="144"/>
      <c r="L5" s="148"/>
      <c r="M5" s="144"/>
      <c r="N5" s="144"/>
      <c r="O5" s="144"/>
      <c r="P5" s="148"/>
      <c r="Q5" s="144"/>
      <c r="R5" s="144"/>
      <c r="S5" s="144"/>
      <c r="T5" s="148"/>
    </row>
    <row r="6" spans="1:20" s="146" customFormat="1" x14ac:dyDescent="0.3">
      <c r="A6" s="66"/>
      <c r="B6" s="147" t="s">
        <v>88</v>
      </c>
      <c r="D6" s="306">
        <f>Loans!E5</f>
        <v>1233.5562372899906</v>
      </c>
      <c r="E6" s="307"/>
      <c r="F6" s="308">
        <f>Loans!F5</f>
        <v>1309.6392868178407</v>
      </c>
      <c r="G6" s="307">
        <f>F6-D6</f>
        <v>76.083049527850108</v>
      </c>
      <c r="H6" s="309">
        <f>IFERROR(IF(F6/D6-1=-1,"       n/a",F6/D6-1),0)</f>
        <v>6.1677811864498056E-2</v>
      </c>
      <c r="I6" s="307"/>
      <c r="J6" s="308">
        <f>Loans!G5</f>
        <v>1390.4149723605469</v>
      </c>
      <c r="K6" s="307">
        <f>J6-F6</f>
        <v>80.775685542706242</v>
      </c>
      <c r="L6" s="309">
        <f>IFERROR(IF(J6/F6-1=-1,"       n/a",J6/F6-1),0)</f>
        <v>6.1677811864498056E-2</v>
      </c>
      <c r="M6" s="307"/>
      <c r="N6" s="308">
        <f>Loans!H5</f>
        <v>1476.1727254393822</v>
      </c>
      <c r="O6" s="307">
        <f>N6-J6</f>
        <v>85.757753078835322</v>
      </c>
      <c r="P6" s="309">
        <f>IFERROR(IF(N6/J6-1=-1,"       n/a",N6/J6-1),0)</f>
        <v>6.1677811864498278E-2</v>
      </c>
      <c r="Q6" s="307"/>
      <c r="R6" s="308">
        <f>Loans!I5</f>
        <v>1567.2198290785361</v>
      </c>
      <c r="S6" s="307">
        <f>R6-N6</f>
        <v>91.047103639153875</v>
      </c>
      <c r="T6" s="309">
        <f>IFERROR(IF(R6/N6-1=-1,"       n/a",R6/N6-1),0)</f>
        <v>6.1677811864498278E-2</v>
      </c>
    </row>
    <row r="7" spans="1:20" s="146" customFormat="1" x14ac:dyDescent="0.3">
      <c r="A7" s="66"/>
      <c r="B7" s="147" t="s">
        <v>89</v>
      </c>
      <c r="D7" s="306">
        <f ca="1">Loans!E6</f>
        <v>366.18388074765562</v>
      </c>
      <c r="E7" s="307"/>
      <c r="F7" s="308">
        <f ca="1">Loans!F6</f>
        <v>514.52912770987621</v>
      </c>
      <c r="G7" s="307">
        <f ca="1">F7-D7</f>
        <v>148.34524696222059</v>
      </c>
      <c r="H7" s="309">
        <f ca="1">IFERROR(IF(F7/D7-1=-1,"       n/a",F7/D7-1),0)</f>
        <v>0.40511135186872993</v>
      </c>
      <c r="I7" s="307"/>
      <c r="J7" s="308">
        <f ca="1">Loans!G6</f>
        <v>546.26415844757025</v>
      </c>
      <c r="K7" s="307">
        <f ca="1">J7-F7</f>
        <v>31.735030737694046</v>
      </c>
      <c r="L7" s="309">
        <f ca="1">IFERROR(IF(J7/F7-1=-1,"       n/a",J7/F7-1),0)</f>
        <v>6.1677811864498056E-2</v>
      </c>
      <c r="M7" s="307"/>
      <c r="N7" s="308">
        <f ca="1">Loans!H6</f>
        <v>579.95653644061804</v>
      </c>
      <c r="O7" s="307">
        <f ca="1">N7-J7</f>
        <v>33.692377993047785</v>
      </c>
      <c r="P7" s="309">
        <f ca="1">IFERROR(IF(N7/J7-1=-1,"       n/a",N7/J7-1),0)</f>
        <v>6.16778118644985E-2</v>
      </c>
      <c r="Q7" s="307"/>
      <c r="R7" s="308">
        <f ca="1">Loans!I6</f>
        <v>615.72698658478839</v>
      </c>
      <c r="S7" s="307">
        <f ca="1">R7-N7</f>
        <v>35.770450144170354</v>
      </c>
      <c r="T7" s="309">
        <f ca="1">IFERROR(IF(R7/N7-1=-1,"       n/a",R7/N7-1),0)</f>
        <v>6.1677811864498056E-2</v>
      </c>
    </row>
    <row r="8" spans="1:20" s="146" customFormat="1" x14ac:dyDescent="0.3">
      <c r="A8" s="6"/>
      <c r="B8" s="147" t="s">
        <v>93</v>
      </c>
      <c r="D8" s="306">
        <f ca="1">Loans!E25</f>
        <v>14458.589577175884</v>
      </c>
      <c r="E8" s="307"/>
      <c r="F8" s="308">
        <f ca="1">Loans!F25</f>
        <v>16365.491898898585</v>
      </c>
      <c r="G8" s="307">
        <f ca="1">F8-D8</f>
        <v>1906.9023217227004</v>
      </c>
      <c r="H8" s="309">
        <f ca="1">IFERROR(IF(F8/D8-1=-1,"       n/a",F8/D8-1),0)</f>
        <v>0.13188716033083248</v>
      </c>
      <c r="I8" s="307"/>
      <c r="J8" s="308">
        <f ca="1">Loans!G25</f>
        <v>16130.83202024843</v>
      </c>
      <c r="K8" s="307">
        <f ca="1">J8-F8</f>
        <v>-234.6598786501545</v>
      </c>
      <c r="L8" s="309">
        <f ca="1">IFERROR(IF(J8/F8-1=-1,"       n/a",J8/F8-1),0)</f>
        <v>-1.4338699997520243E-2</v>
      </c>
      <c r="M8" s="307"/>
      <c r="N8" s="308">
        <f ca="1">Loans!H25</f>
        <v>16369.231898692666</v>
      </c>
      <c r="O8" s="307">
        <f ca="1">N8-J8</f>
        <v>238.39987844423558</v>
      </c>
      <c r="P8" s="309">
        <f ca="1">IFERROR(IF(N8/J8-1=-1,"       n/a",N8/J8-1),0)</f>
        <v>1.4779143329059607E-2</v>
      </c>
      <c r="Q8" s="307"/>
      <c r="R8" s="308">
        <f ca="1">Loans!I25</f>
        <v>16355.537093485778</v>
      </c>
      <c r="S8" s="307">
        <f ca="1">R8-N8</f>
        <v>-13.694805206887395</v>
      </c>
      <c r="T8" s="309">
        <f ca="1">IFERROR(IF(R8/N8-1=-1,"       n/a",R8/N8-1),0)</f>
        <v>-8.3661868141660101E-4</v>
      </c>
    </row>
    <row r="9" spans="1:20" s="146" customFormat="1" x14ac:dyDescent="0.3">
      <c r="A9" s="14"/>
      <c r="B9" s="305" t="s">
        <v>237</v>
      </c>
      <c r="D9" s="310"/>
      <c r="E9" s="310"/>
      <c r="F9" s="310"/>
      <c r="G9" s="310"/>
      <c r="H9" s="311"/>
      <c r="I9" s="310"/>
      <c r="J9" s="310"/>
      <c r="K9" s="310"/>
      <c r="L9" s="311"/>
      <c r="M9" s="310"/>
      <c r="N9" s="310"/>
      <c r="O9" s="310"/>
      <c r="P9" s="311"/>
      <c r="Q9" s="310"/>
      <c r="R9" s="310"/>
      <c r="S9" s="310"/>
      <c r="T9" s="311"/>
    </row>
    <row r="10" spans="1:20" s="146" customFormat="1" x14ac:dyDescent="0.3">
      <c r="A10" s="66"/>
      <c r="B10" s="147" t="s">
        <v>167</v>
      </c>
      <c r="D10" s="306">
        <f ca="1">Credit!E26</f>
        <v>-12707.830895506426</v>
      </c>
      <c r="E10" s="307"/>
      <c r="F10" s="308">
        <f ca="1">Credit!F26</f>
        <v>1752.9101344533478</v>
      </c>
      <c r="G10" s="307">
        <f ca="1">F10-D10</f>
        <v>14460.741029959774</v>
      </c>
      <c r="H10" s="309">
        <f ca="1">IFERROR(IF(F10/D10-1=-1,"       n/a",F10/D10-1),0)</f>
        <v>-1.1379393658026398</v>
      </c>
      <c r="I10" s="307"/>
      <c r="J10" s="308">
        <f ca="1">Credit!G26</f>
        <v>3830.8880539352131</v>
      </c>
      <c r="K10" s="307">
        <f ca="1">J10-F10</f>
        <v>2077.9779194818652</v>
      </c>
      <c r="L10" s="309">
        <f ca="1">IFERROR(IF(J10/F10-1=-1,"       n/a",J10/F10-1),0)</f>
        <v>1.1854446378278776</v>
      </c>
      <c r="M10" s="307"/>
      <c r="N10" s="308">
        <f ca="1">Credit!H26</f>
        <v>3897.4928932321441</v>
      </c>
      <c r="O10" s="307">
        <f ca="1">N10-J10</f>
        <v>66.604839296931004</v>
      </c>
      <c r="P10" s="309">
        <f ca="1">IFERROR(IF(N10/J10-1=-1,"       n/a",N10/J10-1),0)</f>
        <v>1.7386266150093421E-2</v>
      </c>
      <c r="Q10" s="307"/>
      <c r="R10" s="308">
        <f ca="1">Credit!I26</f>
        <v>4566.7597881349338</v>
      </c>
      <c r="S10" s="307">
        <f ca="1">R10-N10</f>
        <v>669.26689490278977</v>
      </c>
      <c r="T10" s="309">
        <f ca="1">IFERROR(IF(R10/N10-1=-1,"       n/a",R10/N10-1),0)</f>
        <v>0.17171728422262111</v>
      </c>
    </row>
    <row r="11" spans="1:20" s="146" customFormat="1" x14ac:dyDescent="0.3">
      <c r="A11" s="66"/>
      <c r="B11" s="147" t="s">
        <v>168</v>
      </c>
      <c r="D11" s="306">
        <f ca="1">Credit!E39</f>
        <v>2423.1133861360377</v>
      </c>
      <c r="E11" s="307"/>
      <c r="F11" s="308">
        <f ca="1">Credit!F39</f>
        <v>3187.727491939113</v>
      </c>
      <c r="G11" s="307">
        <f ca="1">F11-D11</f>
        <v>764.61410580307529</v>
      </c>
      <c r="H11" s="309">
        <f ca="1">IFERROR(IF(F11/D11-1=-1,"       n/a",F11/D11-1),0)</f>
        <v>0.31555027931332158</v>
      </c>
      <c r="I11" s="307"/>
      <c r="J11" s="308">
        <f ca="1">Credit!G39</f>
        <v>3222.3498725946447</v>
      </c>
      <c r="K11" s="307">
        <f ca="1">J11-F11</f>
        <v>34.622380655531742</v>
      </c>
      <c r="L11" s="309">
        <f ca="1">IFERROR(IF(J11/F11-1=-1,"       n/a",J11/F11-1),0)</f>
        <v>1.0861148182547575E-2</v>
      </c>
      <c r="M11" s="307"/>
      <c r="N11" s="308">
        <f ca="1">Credit!H39</f>
        <v>3484.3118933365668</v>
      </c>
      <c r="O11" s="307">
        <f ca="1">N11-J11</f>
        <v>261.96202074192206</v>
      </c>
      <c r="P11" s="309">
        <f ca="1">IFERROR(IF(N11/J11-1=-1,"       n/a",N11/J11-1),0)</f>
        <v>8.1295337595042039E-2</v>
      </c>
      <c r="Q11" s="307"/>
      <c r="R11" s="308">
        <f ca="1">Credit!I39</f>
        <v>3699.1251620770317</v>
      </c>
      <c r="S11" s="307">
        <f ca="1">R11-N11</f>
        <v>214.81326874046499</v>
      </c>
      <c r="T11" s="309">
        <f ca="1">IFERROR(IF(R11/N11-1=-1,"       n/a",R11/N11-1),0)</f>
        <v>6.1651561432050972E-2</v>
      </c>
    </row>
    <row r="12" spans="1:20" s="146" customFormat="1" x14ac:dyDescent="0.3">
      <c r="A12" s="6"/>
      <c r="B12" s="147" t="s">
        <v>169</v>
      </c>
      <c r="D12" s="306">
        <f ca="1">Credit!E44</f>
        <v>15070.944281642462</v>
      </c>
      <c r="E12" s="307"/>
      <c r="F12" s="308">
        <f ca="1">Credit!F44</f>
        <v>1434.8173574857656</v>
      </c>
      <c r="G12" s="307">
        <f ca="1">F12-D12</f>
        <v>-13636.126924156695</v>
      </c>
      <c r="H12" s="309">
        <f ca="1">IFERROR(IF(F12/D12-1=-1,"       n/a",F12/D12-1),0)</f>
        <v>-0.90479578912427672</v>
      </c>
      <c r="I12" s="307"/>
      <c r="J12" s="308">
        <f ca="1">Credit!G44</f>
        <v>-608.53818134056814</v>
      </c>
      <c r="K12" s="307">
        <f ca="1">J12-F12</f>
        <v>-2043.3555388263337</v>
      </c>
      <c r="L12" s="309">
        <f ca="1">IFERROR(IF(J12/F12-1=-1,"       n/a",J12/F12-1),0)</f>
        <v>-1.4241224000850612</v>
      </c>
      <c r="M12" s="307"/>
      <c r="N12" s="308">
        <f ca="1">Credit!H44</f>
        <v>-413.18099989557766</v>
      </c>
      <c r="O12" s="307">
        <f ca="1">N12-J12</f>
        <v>195.35718144499049</v>
      </c>
      <c r="P12" s="309">
        <f ca="1">IFERROR(IF(N12/J12-1=-1,"       n/a",N12/J12-1),0)</f>
        <v>-0.32102699129680234</v>
      </c>
      <c r="Q12" s="307"/>
      <c r="R12" s="308">
        <f ca="1">Credit!I44</f>
        <v>-867.63462605790255</v>
      </c>
      <c r="S12" s="307">
        <f ca="1">R12-N12</f>
        <v>-454.45362616232489</v>
      </c>
      <c r="T12" s="309">
        <f ca="1">IFERROR(IF(R12/N12-1=-1,"       n/a",R12/N12-1),0)</f>
        <v>1.0998899423670934</v>
      </c>
    </row>
    <row r="13" spans="1:20" s="146" customFormat="1" x14ac:dyDescent="0.3">
      <c r="A13" s="14"/>
      <c r="B13" s="147" t="s">
        <v>95</v>
      </c>
      <c r="D13" s="306">
        <f ca="1">Credit!E46</f>
        <v>15070.944281642462</v>
      </c>
      <c r="E13" s="307"/>
      <c r="F13" s="308">
        <f ca="1">Credit!F46</f>
        <v>16505.761639128224</v>
      </c>
      <c r="G13" s="307">
        <f ca="1">F13-D13</f>
        <v>1434.8173574857628</v>
      </c>
      <c r="H13" s="309">
        <f ca="1">IFERROR(IF(F13/D13-1=-1,"       n/a",F13/D13-1),0)</f>
        <v>9.5204210875723172E-2</v>
      </c>
      <c r="I13" s="307"/>
      <c r="J13" s="308">
        <f ca="1">Credit!G46</f>
        <v>15897.223457787659</v>
      </c>
      <c r="K13" s="307">
        <f ca="1">J13-F13</f>
        <v>-608.53818134056564</v>
      </c>
      <c r="L13" s="309">
        <f ca="1">IFERROR(IF(J13/F13-1=-1,"       n/a",J13/F13-1),0)</f>
        <v>-3.6868227873712689E-2</v>
      </c>
      <c r="M13" s="307"/>
      <c r="N13" s="308">
        <f ca="1">Credit!H46</f>
        <v>15484.042457892081</v>
      </c>
      <c r="O13" s="307">
        <f ca="1">N13-J13</f>
        <v>-413.18099989557777</v>
      </c>
      <c r="P13" s="309">
        <f ca="1">IFERROR(IF(N13/J13-1=-1,"       n/a",N13/J13-1),0)</f>
        <v>-2.5990765053577336E-2</v>
      </c>
      <c r="Q13" s="307"/>
      <c r="R13" s="308">
        <f ca="1">Credit!I46</f>
        <v>14616.407831834178</v>
      </c>
      <c r="S13" s="307">
        <f ca="1">R13-N13</f>
        <v>-867.63462605790301</v>
      </c>
      <c r="T13" s="309">
        <f ca="1">IFERROR(IF(R13/N13-1=-1,"       n/a",R13/N13-1),0)</f>
        <v>-5.6034115665685058E-2</v>
      </c>
    </row>
    <row r="14" spans="1:20" s="146" customFormat="1" x14ac:dyDescent="0.3">
      <c r="A14" s="14"/>
      <c r="B14" s="305" t="s">
        <v>154</v>
      </c>
      <c r="C14" s="143"/>
      <c r="D14" s="310"/>
      <c r="E14" s="310"/>
      <c r="F14" s="310"/>
      <c r="G14" s="310"/>
      <c r="H14" s="312"/>
      <c r="I14" s="310"/>
      <c r="J14" s="310"/>
      <c r="K14" s="310"/>
      <c r="L14" s="312"/>
      <c r="M14" s="310"/>
      <c r="N14" s="310"/>
      <c r="O14" s="310"/>
      <c r="P14" s="312"/>
      <c r="Q14" s="310"/>
      <c r="R14" s="310"/>
      <c r="S14" s="310"/>
      <c r="T14" s="312"/>
    </row>
    <row r="15" spans="1:20" s="146" customFormat="1" x14ac:dyDescent="0.3">
      <c r="A15" s="14"/>
      <c r="B15" s="147" t="s">
        <v>166</v>
      </c>
      <c r="D15" s="306">
        <f>Credit!E33</f>
        <v>440</v>
      </c>
      <c r="E15" s="307"/>
      <c r="F15" s="313">
        <f>Credit!F33</f>
        <v>10</v>
      </c>
      <c r="G15" s="307">
        <f>F15-D15</f>
        <v>-430</v>
      </c>
      <c r="H15" s="309">
        <f>IFERROR(IF(F15/D15-1=-1,"       n/a",F15/D15-1),0)</f>
        <v>-0.97727272727272729</v>
      </c>
      <c r="I15" s="307"/>
      <c r="J15" s="313">
        <f>Credit!G33</f>
        <v>0</v>
      </c>
      <c r="K15" s="307">
        <f>J15-F15</f>
        <v>-10</v>
      </c>
      <c r="L15" s="309" t="str">
        <f>IFERROR(IF(J15/F15-1=-1,"       n/a",J15/F15-1),0)</f>
        <v xml:space="preserve">       n/a</v>
      </c>
      <c r="M15" s="307"/>
      <c r="N15" s="313">
        <f>Credit!H33</f>
        <v>0</v>
      </c>
      <c r="O15" s="307">
        <f>N15-J15</f>
        <v>0</v>
      </c>
      <c r="P15" s="309">
        <f>IFERROR(IF(N15/J15-1=-1,"       n/a",N15/J15-1),0)</f>
        <v>0</v>
      </c>
      <c r="Q15" s="307"/>
      <c r="R15" s="313">
        <f>Credit!I33</f>
        <v>0</v>
      </c>
      <c r="S15" s="307">
        <f>R15-N15</f>
        <v>0</v>
      </c>
      <c r="T15" s="309">
        <f>IFERROR(IF(R15/N15-1=-1,"       n/a",R15/N15-1),0)</f>
        <v>0</v>
      </c>
    </row>
    <row r="16" spans="1:20" s="146" customFormat="1" x14ac:dyDescent="0.3">
      <c r="A16" s="14"/>
      <c r="B16" s="147" t="s">
        <v>155</v>
      </c>
      <c r="D16" s="306">
        <f>Credit!E25</f>
        <v>18</v>
      </c>
      <c r="E16" s="307"/>
      <c r="F16" s="313">
        <f>Credit!F25</f>
        <v>175</v>
      </c>
      <c r="G16" s="307">
        <f t="shared" ref="G16" si="0">F16-D16</f>
        <v>157</v>
      </c>
      <c r="H16" s="309">
        <f>IFERROR(IF(F16/D16-1=-1,"       n/a",F16/D16-1),0)</f>
        <v>8.7222222222222214</v>
      </c>
      <c r="I16" s="307"/>
      <c r="J16" s="313">
        <f>Credit!G25</f>
        <v>0</v>
      </c>
      <c r="K16" s="307">
        <f t="shared" ref="K16" si="1">J16-F16</f>
        <v>-175</v>
      </c>
      <c r="L16" s="309" t="str">
        <f>IFERROR(IF(J16/F16-1=-1,"       n/a",J16/F16-1),0)</f>
        <v xml:space="preserve">       n/a</v>
      </c>
      <c r="M16" s="307"/>
      <c r="N16" s="313">
        <f>Credit!H25</f>
        <v>5</v>
      </c>
      <c r="O16" s="307">
        <f t="shared" ref="O16" si="2">N16-J16</f>
        <v>5</v>
      </c>
      <c r="P16" s="309">
        <f>IFERROR(IF(N16/J16-1=-1,"       n/a",N16/J16-1),0)</f>
        <v>0</v>
      </c>
      <c r="Q16" s="307"/>
      <c r="R16" s="313">
        <f>Credit!I25</f>
        <v>15</v>
      </c>
      <c r="S16" s="307">
        <f t="shared" ref="S16" si="3">R16-N16</f>
        <v>10</v>
      </c>
      <c r="T16" s="309">
        <f>IFERROR(IF(R16/N16-1=-1,"       n/a",R16/N16-1),0)</f>
        <v>2</v>
      </c>
    </row>
    <row r="17" spans="1:22" s="146" customFormat="1" x14ac:dyDescent="0.3">
      <c r="A17" s="14"/>
      <c r="B17" s="305" t="s">
        <v>170</v>
      </c>
      <c r="D17" s="310"/>
      <c r="E17" s="310"/>
      <c r="F17" s="310"/>
      <c r="G17" s="310"/>
      <c r="H17" s="311"/>
      <c r="I17" s="310"/>
      <c r="J17" s="310"/>
      <c r="K17" s="310"/>
      <c r="L17" s="311"/>
      <c r="M17" s="310"/>
      <c r="N17" s="310"/>
      <c r="O17" s="310"/>
      <c r="P17" s="311"/>
      <c r="Q17" s="310"/>
      <c r="R17" s="310"/>
      <c r="S17" s="310"/>
      <c r="T17" s="311"/>
    </row>
    <row r="18" spans="1:22" s="146" customFormat="1" x14ac:dyDescent="0.3">
      <c r="A18" s="14"/>
      <c r="B18" s="147" t="s">
        <v>106</v>
      </c>
      <c r="D18" s="306">
        <f ca="1">Income!E14</f>
        <v>2571.0346549644273</v>
      </c>
      <c r="E18" s="307"/>
      <c r="F18" s="308">
        <f ca="1">Income!F14</f>
        <v>3818.8744163782635</v>
      </c>
      <c r="G18" s="307">
        <f ca="1">F18-D18</f>
        <v>1247.8397614138362</v>
      </c>
      <c r="H18" s="309">
        <f ca="1">IFERROR(IF(F18/D18-1=-1,"       n/a",F18/D18-1),0)</f>
        <v>0.48534536825646213</v>
      </c>
      <c r="I18" s="307"/>
      <c r="J18" s="308">
        <f ca="1">Income!G14</f>
        <v>3823.8521377634497</v>
      </c>
      <c r="K18" s="307">
        <f ca="1">J18-F18</f>
        <v>4.9777213851862143</v>
      </c>
      <c r="L18" s="309">
        <f ca="1">IFERROR(IF(J18/F18-1=-1,"       n/a",J18/F18-1),0)</f>
        <v>1.3034524947554971E-3</v>
      </c>
      <c r="M18" s="307"/>
      <c r="N18" s="308">
        <f ca="1">Income!H14</f>
        <v>4385.1613044692331</v>
      </c>
      <c r="O18" s="307">
        <f ca="1">N18-J18</f>
        <v>561.30916670578335</v>
      </c>
      <c r="P18" s="309">
        <f ca="1">IFERROR(IF(N18/J18-1=-1,"       n/a",N18/J18-1),0)</f>
        <v>0.14679154592888888</v>
      </c>
      <c r="Q18" s="307"/>
      <c r="R18" s="308">
        <f ca="1">Income!I14</f>
        <v>4783.2030546357946</v>
      </c>
      <c r="S18" s="307">
        <f ca="1">R18-N18</f>
        <v>398.04175016656154</v>
      </c>
      <c r="T18" s="309">
        <f ca="1">IFERROR(IF(R18/N18-1=-1,"       n/a",R18/N18-1),0)</f>
        <v>9.0770150179170894E-2</v>
      </c>
    </row>
    <row r="19" spans="1:22" s="146" customFormat="1" x14ac:dyDescent="0.3">
      <c r="B19" s="147" t="s">
        <v>171</v>
      </c>
      <c r="D19" s="306">
        <f ca="1">Income!E20</f>
        <v>1346.9176115114763</v>
      </c>
      <c r="E19" s="307"/>
      <c r="F19" s="308">
        <f ca="1">Income!F20</f>
        <v>722.44194132914276</v>
      </c>
      <c r="G19" s="307">
        <f ca="1">F19-D19</f>
        <v>-624.47567018233349</v>
      </c>
      <c r="H19" s="309">
        <f ca="1">IFERROR(IF(F19/D19-1=-1,"       n/a",F19/D19-1),0)</f>
        <v>-0.46363316126037057</v>
      </c>
      <c r="I19" s="307"/>
      <c r="J19" s="308">
        <f ca="1">Income!G20</f>
        <v>648.09659194230426</v>
      </c>
      <c r="K19" s="307">
        <f ca="1">J19-F19</f>
        <v>-74.345349386838507</v>
      </c>
      <c r="L19" s="309">
        <f ca="1">IFERROR(IF(J19/F19-1=-1,"       n/a",J19/F19-1),0)</f>
        <v>-0.1029084070756725</v>
      </c>
      <c r="M19" s="307"/>
      <c r="N19" s="308">
        <f ca="1">Income!H20</f>
        <v>713.72940660708753</v>
      </c>
      <c r="O19" s="307">
        <f ca="1">N19-J19</f>
        <v>65.632814664783268</v>
      </c>
      <c r="P19" s="309">
        <f ca="1">IFERROR(IF(N19/J19-1=-1,"       n/a",N19/J19-1),0)</f>
        <v>0.10127011232706207</v>
      </c>
      <c r="Q19" s="307"/>
      <c r="R19" s="308">
        <f ca="1">Income!I20</f>
        <v>743.70863959088967</v>
      </c>
      <c r="S19" s="307">
        <f ca="1">R19-N19</f>
        <v>29.979232983802149</v>
      </c>
      <c r="T19" s="309">
        <f ca="1">IFERROR(IF(R19/N19-1=-1,"       n/a",R19/N19-1),0)</f>
        <v>4.2003639903695156E-2</v>
      </c>
    </row>
    <row r="20" spans="1:22" s="146" customFormat="1" x14ac:dyDescent="0.3">
      <c r="B20" s="147" t="s">
        <v>172</v>
      </c>
      <c r="D20" s="306">
        <f>Income!E22</f>
        <v>1077.2709170306898</v>
      </c>
      <c r="E20" s="307"/>
      <c r="F20" s="308">
        <f>Income!F22</f>
        <v>1559.6377733822637</v>
      </c>
      <c r="G20" s="307">
        <f t="shared" ref="G20:G21" si="4">F20-D20</f>
        <v>482.36685635157392</v>
      </c>
      <c r="H20" s="309">
        <f>IFERROR(IF(F20/D20-1=-1,"       n/a",F20/D20-1),0)</f>
        <v>0.44776745452400624</v>
      </c>
      <c r="I20" s="307"/>
      <c r="J20" s="308">
        <f>Income!G22</f>
        <v>1676.327186509908</v>
      </c>
      <c r="K20" s="307">
        <f t="shared" ref="K20:K21" si="5">J20-F20</f>
        <v>116.68941312764423</v>
      </c>
      <c r="L20" s="309">
        <f>IFERROR(IF(J20/F20-1=-1,"       n/a",J20/F20-1),0)</f>
        <v>7.4818278397162041E-2</v>
      </c>
      <c r="M20" s="307"/>
      <c r="N20" s="308">
        <f>Income!H22</f>
        <v>1701.6456878753954</v>
      </c>
      <c r="O20" s="307">
        <f t="shared" ref="O20:O21" si="6">N20-J20</f>
        <v>25.318501365487464</v>
      </c>
      <c r="P20" s="309">
        <f>IFERROR(IF(N20/J20-1=-1,"       n/a",N20/J20-1),0)</f>
        <v>1.5103555898416277E-2</v>
      </c>
      <c r="Q20" s="307"/>
      <c r="R20" s="308">
        <f>Income!I22</f>
        <v>1727.3465886415211</v>
      </c>
      <c r="S20" s="307">
        <f t="shared" ref="S20:S21" si="7">R20-N20</f>
        <v>25.700900766125642</v>
      </c>
      <c r="T20" s="309">
        <f>IFERROR(IF(R20/N20-1=-1,"       n/a",R20/N20-1),0)</f>
        <v>1.5103555898416721E-2</v>
      </c>
    </row>
    <row r="21" spans="1:22" s="146" customFormat="1" x14ac:dyDescent="0.3">
      <c r="A21" s="14"/>
      <c r="B21" s="147" t="s">
        <v>173</v>
      </c>
      <c r="D21" s="306">
        <f>Income!E21</f>
        <v>604.72028159254307</v>
      </c>
      <c r="E21" s="307"/>
      <c r="F21" s="308">
        <f>Income!F21</f>
        <v>615.13219227153104</v>
      </c>
      <c r="G21" s="307">
        <f t="shared" si="4"/>
        <v>10.411910678987965</v>
      </c>
      <c r="H21" s="309">
        <f>IFERROR(IF(F21/D21-1=-1,"       n/a",F21/D21-1),0)</f>
        <v>1.7217730239786233E-2</v>
      </c>
      <c r="I21" s="307"/>
      <c r="J21" s="308">
        <f>Income!G21</f>
        <v>625.72337241987066</v>
      </c>
      <c r="K21" s="307">
        <f t="shared" si="5"/>
        <v>10.591180148339618</v>
      </c>
      <c r="L21" s="309">
        <f>IFERROR(IF(J21/F21-1=-1,"       n/a",J21/F21-1),0)</f>
        <v>1.7217730239786455E-2</v>
      </c>
      <c r="M21" s="307"/>
      <c r="N21" s="308">
        <f>Income!H21</f>
        <v>636.49690865092532</v>
      </c>
      <c r="O21" s="307">
        <f t="shared" si="6"/>
        <v>10.773536231054663</v>
      </c>
      <c r="P21" s="309">
        <f>IFERROR(IF(N21/J21-1=-1,"       n/a",N21/J21-1),0)</f>
        <v>1.7217730239786233E-2</v>
      </c>
      <c r="Q21" s="307"/>
      <c r="R21" s="308">
        <f>Income!I21</f>
        <v>647.45594072253516</v>
      </c>
      <c r="S21" s="307">
        <f t="shared" si="7"/>
        <v>10.95903207160984</v>
      </c>
      <c r="T21" s="309">
        <f>IFERROR(IF(R21/N21-1=-1,"       n/a",R21/N21-1),0)</f>
        <v>1.7217730239786677E-2</v>
      </c>
    </row>
    <row r="22" spans="1:22" s="146" customFormat="1" x14ac:dyDescent="0.3">
      <c r="A22" s="14"/>
      <c r="B22" s="147" t="s">
        <v>174</v>
      </c>
      <c r="D22" s="306">
        <f ca="1">Income!E30</f>
        <v>-515.68803779991094</v>
      </c>
      <c r="E22" s="307"/>
      <c r="F22" s="308">
        <f ca="1">Income!F30</f>
        <v>405.41829757026596</v>
      </c>
      <c r="G22" s="307">
        <f ca="1">F22-D22</f>
        <v>921.10633537017691</v>
      </c>
      <c r="H22" s="309">
        <f ca="1">IFERROR(IF(F22/D22-1=-1,"       n/a",F22/D22-1),0)</f>
        <v>-1.7861696759535266</v>
      </c>
      <c r="I22" s="307"/>
      <c r="J22" s="308">
        <f ca="1">Income!G30</f>
        <v>373.87830269040938</v>
      </c>
      <c r="K22" s="307">
        <f ca="1">J22-F22</f>
        <v>-31.539994879856579</v>
      </c>
      <c r="L22" s="309">
        <f ca="1">IFERROR(IF(J22/F22-1=-1,"       n/a",J22/F22-1),0)</f>
        <v>-7.7796180066071474E-2</v>
      </c>
      <c r="M22" s="307"/>
      <c r="N22" s="308">
        <f ca="1">Income!H30</f>
        <v>651.58087833980824</v>
      </c>
      <c r="O22" s="307">
        <f ca="1">N22-J22</f>
        <v>277.70257564939885</v>
      </c>
      <c r="P22" s="309">
        <f ca="1">IFERROR(IF(N22/J22-1=-1,"       n/a",N22/J22-1),0)</f>
        <v>0.7427619459355228</v>
      </c>
      <c r="Q22" s="307"/>
      <c r="R22" s="308">
        <f ca="1">Income!I30</f>
        <v>853.93982085100652</v>
      </c>
      <c r="S22" s="307">
        <f ca="1">R22-N22</f>
        <v>202.35894251119828</v>
      </c>
      <c r="T22" s="309">
        <f ca="1">IFERROR(IF(R22/N22-1=-1,"       n/a",R22/N22-1),0)</f>
        <v>0.3105661157933266</v>
      </c>
    </row>
    <row r="23" spans="1:22" s="146" customFormat="1" x14ac:dyDescent="0.3">
      <c r="A23" s="66"/>
      <c r="B23" s="305" t="s">
        <v>120</v>
      </c>
      <c r="D23" s="310"/>
      <c r="E23" s="310"/>
      <c r="F23" s="310"/>
      <c r="G23" s="310"/>
      <c r="H23" s="311"/>
      <c r="I23" s="310"/>
      <c r="J23" s="310"/>
      <c r="K23" s="310"/>
      <c r="L23" s="311"/>
      <c r="M23" s="310"/>
      <c r="N23" s="310"/>
      <c r="O23" s="310"/>
      <c r="P23" s="311"/>
      <c r="Q23" s="310"/>
      <c r="R23" s="310"/>
      <c r="S23" s="310"/>
      <c r="T23" s="311"/>
    </row>
    <row r="24" spans="1:22" s="146" customFormat="1" x14ac:dyDescent="0.3">
      <c r="A24" s="6"/>
      <c r="B24" s="147" t="s">
        <v>125</v>
      </c>
      <c r="D24" s="306">
        <f ca="1">Balance!E20</f>
        <v>14825.25624384255</v>
      </c>
      <c r="E24" s="307"/>
      <c r="F24" s="308">
        <f ca="1">Balance!F20</f>
        <v>16565.491898898585</v>
      </c>
      <c r="G24" s="307">
        <f ca="1">F24-D24</f>
        <v>1740.2356550560344</v>
      </c>
      <c r="H24" s="309">
        <f ca="1">IFERROR(IF(F24/D24-1=-1,"       n/a",F24/D24-1),0)</f>
        <v>0.11738317546982135</v>
      </c>
      <c r="I24" s="307"/>
      <c r="J24" s="308">
        <f ca="1">Balance!G20</f>
        <v>16330.83202024843</v>
      </c>
      <c r="K24" s="307">
        <f ca="1">J24-F24</f>
        <v>-234.6598786501545</v>
      </c>
      <c r="L24" s="309">
        <f ca="1">IFERROR(IF(J24/F24-1=-1,"       n/a",J24/F24-1),0)</f>
        <v>-1.4165584703570211E-2</v>
      </c>
      <c r="M24" s="307"/>
      <c r="N24" s="308">
        <f ca="1">Balance!H20</f>
        <v>16569.231898692666</v>
      </c>
      <c r="O24" s="307">
        <f ca="1">N24-J24</f>
        <v>238.39987844423558</v>
      </c>
      <c r="P24" s="309">
        <f ca="1">IFERROR(IF(N24/J24-1=-1,"       n/a",N24/J24-1),0)</f>
        <v>1.4598146508925325E-2</v>
      </c>
      <c r="Q24" s="307"/>
      <c r="R24" s="308">
        <f ca="1">Balance!I20</f>
        <v>16555.537093485778</v>
      </c>
      <c r="S24" s="307">
        <f ca="1">R24-N24</f>
        <v>-13.694805206887395</v>
      </c>
      <c r="T24" s="309">
        <f ca="1">IFERROR(IF(R24/N24-1=-1,"       n/a",R24/N24-1),0)</f>
        <v>-8.2652022076945553E-4</v>
      </c>
    </row>
    <row r="25" spans="1:22" s="146" customFormat="1" x14ac:dyDescent="0.3">
      <c r="A25" s="14"/>
      <c r="B25" s="147" t="s">
        <v>130</v>
      </c>
      <c r="D25" s="306">
        <f ca="1">Balance!E26</f>
        <v>15230.944281642462</v>
      </c>
      <c r="E25" s="307"/>
      <c r="F25" s="308">
        <f ca="1">Balance!F26</f>
        <v>16665.761639128224</v>
      </c>
      <c r="G25" s="307">
        <f ca="1">F25-D25</f>
        <v>1434.8173574857628</v>
      </c>
      <c r="H25" s="309">
        <f ca="1">IFERROR(IF(F25/D25-1=-1,"       n/a",F25/D25-1),0)</f>
        <v>9.4204097326724412E-2</v>
      </c>
      <c r="I25" s="307"/>
      <c r="J25" s="308">
        <f ca="1">Balance!G26</f>
        <v>16057.223457787659</v>
      </c>
      <c r="K25" s="307">
        <f ca="1">J25-F25</f>
        <v>-608.53818134056564</v>
      </c>
      <c r="L25" s="309">
        <f ca="1">IFERROR(IF(J25/F25-1=-1,"       n/a",J25/F25-1),0)</f>
        <v>-3.6514273665826713E-2</v>
      </c>
      <c r="M25" s="307"/>
      <c r="N25" s="308">
        <f ca="1">Balance!H26</f>
        <v>15644.042457892081</v>
      </c>
      <c r="O25" s="307">
        <f ca="1">N25-J25</f>
        <v>-413.18099989557777</v>
      </c>
      <c r="P25" s="309">
        <f ca="1">IFERROR(IF(N25/J25-1=-1,"       n/a",N25/J25-1),0)</f>
        <v>-2.5731783641286254E-2</v>
      </c>
      <c r="Q25" s="307"/>
      <c r="R25" s="308">
        <f ca="1">Balance!I26</f>
        <v>14776.407831834178</v>
      </c>
      <c r="S25" s="307">
        <f ca="1">R25-N25</f>
        <v>-867.63462605790301</v>
      </c>
      <c r="T25" s="309">
        <f ca="1">IFERROR(IF(R25/N25-1=-1,"       n/a",R25/N25-1),0)</f>
        <v>-5.5461024757076149E-2</v>
      </c>
    </row>
    <row r="26" spans="1:22" s="146" customFormat="1" x14ac:dyDescent="0.3">
      <c r="A26" s="14"/>
      <c r="B26" s="147" t="s">
        <v>11</v>
      </c>
      <c r="D26" s="306">
        <f ca="1">Balance!E31</f>
        <v>-405.68803779991083</v>
      </c>
      <c r="E26" s="307"/>
      <c r="F26" s="308">
        <f ca="1">Balance!F31</f>
        <v>-100.26974022964475</v>
      </c>
      <c r="G26" s="307">
        <f ca="1">F26-D26</f>
        <v>305.41829757026608</v>
      </c>
      <c r="H26" s="309">
        <f ca="1">IFERROR(IF(F26/D26-1=-1,"       n/a",F26/D26-1),0)</f>
        <v>-0.75284028394473212</v>
      </c>
      <c r="I26" s="307"/>
      <c r="J26" s="308">
        <f ca="1">Balance!G31</f>
        <v>273.60856246076469</v>
      </c>
      <c r="K26" s="307">
        <f ca="1">J26-F26</f>
        <v>373.87830269040944</v>
      </c>
      <c r="L26" s="309">
        <f ca="1">IFERROR(IF(J26/F26-1=-1,"       n/a",J26/F26-1),0)</f>
        <v>-3.7287251551078846</v>
      </c>
      <c r="M26" s="307"/>
      <c r="N26" s="308">
        <f ca="1">Balance!H31</f>
        <v>925.18944080057304</v>
      </c>
      <c r="O26" s="307">
        <f ca="1">N26-J26</f>
        <v>651.58087833980835</v>
      </c>
      <c r="P26" s="309">
        <f ca="1">IFERROR(IF(N26/J26-1=-1,"       n/a",N26/J26-1),0)</f>
        <v>2.3814345299710591</v>
      </c>
      <c r="Q26" s="307"/>
      <c r="R26" s="308">
        <f ca="1">Balance!I31</f>
        <v>1779.1292616515793</v>
      </c>
      <c r="S26" s="307">
        <f ca="1">R26-N26</f>
        <v>853.93982085100629</v>
      </c>
      <c r="T26" s="309">
        <f ca="1">IFERROR(IF(R26/N26-1=-1,"       n/a",R26/N26-1),0)</f>
        <v>0.92298915572586515</v>
      </c>
    </row>
    <row r="27" spans="1:22" s="146" customFormat="1" x14ac:dyDescent="0.3">
      <c r="A27" s="14"/>
      <c r="B27" s="305" t="s">
        <v>134</v>
      </c>
      <c r="D27" s="152"/>
      <c r="E27" s="152"/>
      <c r="F27" s="152"/>
      <c r="G27" s="310"/>
      <c r="H27" s="312"/>
      <c r="I27" s="152"/>
      <c r="J27" s="152"/>
      <c r="K27" s="310"/>
      <c r="L27" s="312"/>
      <c r="M27" s="152"/>
      <c r="N27" s="152"/>
      <c r="O27" s="310"/>
      <c r="P27" s="312"/>
      <c r="Q27" s="152"/>
      <c r="R27" s="152"/>
      <c r="S27" s="310"/>
      <c r="T27" s="312"/>
    </row>
    <row r="28" spans="1:22" s="146" customFormat="1" x14ac:dyDescent="0.3">
      <c r="A28" s="14"/>
      <c r="B28" s="147" t="s">
        <v>240</v>
      </c>
      <c r="D28" s="306">
        <f ca="1">Cash!E9</f>
        <v>-14718.944281642462</v>
      </c>
      <c r="E28" s="307"/>
      <c r="F28" s="308">
        <f ca="1">Cash!F9</f>
        <v>-1499.8173574857678</v>
      </c>
      <c r="G28" s="307">
        <f ca="1">F28-D28</f>
        <v>13219.126924156693</v>
      </c>
      <c r="H28" s="309">
        <f ca="1">IFERROR(IF(F28/D28-1=-1,"       n/a",F28/D28-1),0)</f>
        <v>-0.89810292580858886</v>
      </c>
      <c r="I28" s="307"/>
      <c r="J28" s="308">
        <f ca="1">Cash!G9</f>
        <v>608.53818134056382</v>
      </c>
      <c r="K28" s="307">
        <f t="shared" ref="K28:K31" ca="1" si="8">J28-F28</f>
        <v>2108.3555388263317</v>
      </c>
      <c r="L28" s="309">
        <f ca="1">IFERROR(IF(J28/F28-1=-1,"       n/a",J28/F28-1),0)</f>
        <v>-1.4057415246618377</v>
      </c>
      <c r="M28" s="307"/>
      <c r="N28" s="308">
        <f ca="1">Cash!H9</f>
        <v>408.18099989557265</v>
      </c>
      <c r="O28" s="307">
        <f t="shared" ref="O28:O31" ca="1" si="9">N28-J28</f>
        <v>-200.35718144499117</v>
      </c>
      <c r="P28" s="309">
        <f ca="1">IFERROR(IF(N28/J28-1=-1,"       n/a",N28/J28-1),0)</f>
        <v>-0.3292434026138169</v>
      </c>
      <c r="Q28" s="307"/>
      <c r="R28" s="308">
        <f ca="1">Cash!I9</f>
        <v>852.63462605789391</v>
      </c>
      <c r="S28" s="307">
        <f t="shared" ref="S28:S31" ca="1" si="10">R28-N28</f>
        <v>444.45362616232126</v>
      </c>
      <c r="T28" s="309">
        <f ca="1">IFERROR(IF(R28/N28-1=-1,"       n/a",R28/N28-1),0)</f>
        <v>1.0888640732322878</v>
      </c>
    </row>
    <row r="29" spans="1:22" s="146" customFormat="1" x14ac:dyDescent="0.3">
      <c r="A29" s="14"/>
      <c r="B29" s="147" t="s">
        <v>241</v>
      </c>
      <c r="C29" s="143"/>
      <c r="D29" s="306">
        <f>Cash!E13</f>
        <v>-422</v>
      </c>
      <c r="E29" s="307"/>
      <c r="F29" s="308">
        <f>Cash!F13</f>
        <v>165</v>
      </c>
      <c r="G29" s="307">
        <f>F29-D29</f>
        <v>587</v>
      </c>
      <c r="H29" s="309">
        <f>IFERROR(IF(F29/D29-1=-1,"       n/a",F29/D29-1),0)</f>
        <v>-1.390995260663507</v>
      </c>
      <c r="I29" s="307"/>
      <c r="J29" s="308">
        <f>Cash!G13</f>
        <v>0</v>
      </c>
      <c r="K29" s="307">
        <f t="shared" si="8"/>
        <v>-165</v>
      </c>
      <c r="L29" s="309" t="str">
        <f>IFERROR(IF(J29/F29-1=-1,"       n/a",J29/F29-1),0)</f>
        <v xml:space="preserve">       n/a</v>
      </c>
      <c r="M29" s="307"/>
      <c r="N29" s="308">
        <f>Cash!H13</f>
        <v>5</v>
      </c>
      <c r="O29" s="307">
        <f t="shared" si="9"/>
        <v>5</v>
      </c>
      <c r="P29" s="309">
        <f>IFERROR(IF(N29/J29-1=-1,"       n/a",N29/J29-1),0)</f>
        <v>0</v>
      </c>
      <c r="Q29" s="307"/>
      <c r="R29" s="308">
        <f>Cash!I13</f>
        <v>15</v>
      </c>
      <c r="S29" s="307">
        <f t="shared" si="10"/>
        <v>10</v>
      </c>
      <c r="T29" s="309">
        <f>IFERROR(IF(R29/N29-1=-1,"       n/a",R29/N29-1),0)</f>
        <v>2</v>
      </c>
    </row>
    <row r="30" spans="1:22" x14ac:dyDescent="0.3">
      <c r="A30" s="14"/>
      <c r="B30" s="147" t="s">
        <v>242</v>
      </c>
      <c r="D30" s="306">
        <f>Cash!E20</f>
        <v>10</v>
      </c>
      <c r="E30" s="307"/>
      <c r="F30" s="308">
        <f>Cash!F20</f>
        <v>-100</v>
      </c>
      <c r="G30" s="307">
        <f>F30-D30</f>
        <v>-110</v>
      </c>
      <c r="H30" s="309">
        <f>IFERROR(IF(F30/D30-1=-1,"       n/a",F30/D30-1),0)</f>
        <v>-11</v>
      </c>
      <c r="I30" s="307"/>
      <c r="J30" s="308">
        <f>Cash!G20</f>
        <v>0</v>
      </c>
      <c r="K30" s="307">
        <f t="shared" si="8"/>
        <v>100</v>
      </c>
      <c r="L30" s="309" t="str">
        <f>IFERROR(IF(J30/F30-1=-1,"       n/a",J30/F30-1),0)</f>
        <v xml:space="preserve">       n/a</v>
      </c>
      <c r="M30" s="307"/>
      <c r="N30" s="308">
        <f>Cash!H20</f>
        <v>0</v>
      </c>
      <c r="O30" s="307">
        <f t="shared" si="9"/>
        <v>0</v>
      </c>
      <c r="P30" s="309">
        <f>IFERROR(IF(N30/J30-1=-1,"       n/a",N30/J30-1),0)</f>
        <v>0</v>
      </c>
      <c r="Q30" s="307"/>
      <c r="R30" s="308">
        <f>Cash!I20</f>
        <v>0</v>
      </c>
      <c r="S30" s="307">
        <f t="shared" si="10"/>
        <v>0</v>
      </c>
      <c r="T30" s="309">
        <f>IFERROR(IF(R30/N30-1=-1,"       n/a",R30/N30-1),0)</f>
        <v>0</v>
      </c>
      <c r="U30" s="146"/>
      <c r="V30" s="146"/>
    </row>
    <row r="31" spans="1:22" x14ac:dyDescent="0.3">
      <c r="A31" s="14"/>
      <c r="B31" s="147" t="s">
        <v>243</v>
      </c>
      <c r="D31" s="306">
        <f ca="1">Cash!E22</f>
        <v>-15130.944281642462</v>
      </c>
      <c r="E31" s="307"/>
      <c r="F31" s="308">
        <f ca="1">Cash!F22</f>
        <v>-1434.8173574857678</v>
      </c>
      <c r="G31" s="307">
        <f ca="1">F31-D31</f>
        <v>13696.126924156693</v>
      </c>
      <c r="H31" s="309">
        <f ca="1">IFERROR(IF(F31/D31-1=-1,"       n/a",F31/D31-1),0)</f>
        <v>-0.90517331035138682</v>
      </c>
      <c r="I31" s="307"/>
      <c r="J31" s="308">
        <f ca="1">Cash!G22</f>
        <v>608.53818134056382</v>
      </c>
      <c r="K31" s="307">
        <f t="shared" ca="1" si="8"/>
        <v>2043.3555388263317</v>
      </c>
      <c r="L31" s="309">
        <f ca="1">IFERROR(IF(J31/F31-1=-1,"       n/a",J31/F31-1),0)</f>
        <v>-1.4241224000850576</v>
      </c>
      <c r="M31" s="307"/>
      <c r="N31" s="308">
        <f ca="1">Cash!H22</f>
        <v>413.18099989557265</v>
      </c>
      <c r="O31" s="307">
        <f t="shared" ca="1" si="9"/>
        <v>-195.35718144499117</v>
      </c>
      <c r="P31" s="309">
        <f ca="1">IFERROR(IF(N31/J31-1=-1,"       n/a",N31/J31-1),0)</f>
        <v>-0.32102699129680567</v>
      </c>
      <c r="Q31" s="307"/>
      <c r="R31" s="308">
        <f ca="1">Cash!I22</f>
        <v>867.63462605789391</v>
      </c>
      <c r="S31" s="307">
        <f t="shared" ca="1" si="10"/>
        <v>454.45362616232126</v>
      </c>
      <c r="T31" s="309">
        <f ca="1">IFERROR(IF(R31/N31-1=-1,"       n/a",R31/N31-1),0)</f>
        <v>1.0998899423670978</v>
      </c>
      <c r="V31" s="146"/>
    </row>
    <row r="32" spans="1:22" s="146" customFormat="1" x14ac:dyDescent="0.3">
      <c r="A32" s="6"/>
      <c r="B32" s="149" t="s">
        <v>158</v>
      </c>
      <c r="C32" s="143"/>
      <c r="D32" s="306">
        <f ca="1">Cash!E32</f>
        <v>-1878.5230025748706</v>
      </c>
      <c r="E32" s="152"/>
      <c r="F32" s="152"/>
      <c r="G32" s="310"/>
      <c r="H32" s="312"/>
      <c r="I32" s="152"/>
      <c r="J32" s="152"/>
      <c r="K32" s="310"/>
      <c r="L32" s="312"/>
      <c r="M32" s="152"/>
      <c r="N32" s="152"/>
      <c r="O32" s="310"/>
      <c r="P32" s="312"/>
      <c r="Q32" s="152"/>
      <c r="R32" s="152"/>
      <c r="S32" s="310"/>
      <c r="T32" s="312"/>
      <c r="U32" s="143"/>
      <c r="V32" s="143"/>
    </row>
    <row r="36" spans="2:2" s="143" customFormat="1" x14ac:dyDescent="0.3">
      <c r="B36" s="150"/>
    </row>
  </sheetData>
  <sheetProtection algorithmName="SHA-512" hashValue="Sqh5+1L8k+OV1bqJGoeFOyHKOoJq9sCsrhbHK/U0LME6nL0/wLbgRlkpk69TjNbatoyPLHGXe59y13akobFWww==" saltValue="zxsJFcRiQFYnxlf97p2i4A==" spinCount="100000" sheet="1" objects="1" scenarios="1" selectLockedCells="1" selectUnlockedCells="1"/>
  <printOptions horizontalCentered="1"/>
  <pageMargins left="0.5" right="0.5" top="0.75" bottom="0.5" header="0.3" footer="0.3"/>
  <pageSetup orientation="landscape" r:id="rId1"/>
  <headerFooter scaleWithDoc="0" alignWithMargins="0">
    <oddFooter>&amp;L&amp;10 5-year Summary, p.&amp;P of &amp;N&amp;R&amp;10Updated &amp;D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78</vt:i4>
      </vt:variant>
    </vt:vector>
  </HeadingPairs>
  <TitlesOfParts>
    <vt:vector size="88" baseType="lpstr">
      <vt:lpstr>ℹ️ </vt:lpstr>
      <vt:lpstr>Drivers</vt:lpstr>
      <vt:lpstr>Loans</vt:lpstr>
      <vt:lpstr>Amort</vt:lpstr>
      <vt:lpstr>Credit</vt:lpstr>
      <vt:lpstr>CapEx</vt:lpstr>
      <vt:lpstr>Income</vt:lpstr>
      <vt:lpstr>Balance</vt:lpstr>
      <vt:lpstr>Cash</vt:lpstr>
      <vt:lpstr>Summary</vt:lpstr>
      <vt:lpstr>CapexAmount</vt:lpstr>
      <vt:lpstr>CapexCategory</vt:lpstr>
      <vt:lpstr>CapexDepMonths</vt:lpstr>
      <vt:lpstr>CapexItem</vt:lpstr>
      <vt:lpstr>CapexMonth</vt:lpstr>
      <vt:lpstr>CapexSalvage</vt:lpstr>
      <vt:lpstr>CapExSalvageMonth</vt:lpstr>
      <vt:lpstr>CapitalCommon</vt:lpstr>
      <vt:lpstr>CapitalCommonStart</vt:lpstr>
      <vt:lpstr>CapitalDebtMonth</vt:lpstr>
      <vt:lpstr>CapitalDividends</vt:lpstr>
      <vt:lpstr>CapitalEquityMonth</vt:lpstr>
      <vt:lpstr>CapitalLong</vt:lpstr>
      <vt:lpstr>CapitalLongStart</vt:lpstr>
      <vt:lpstr>CapitalPreferred</vt:lpstr>
      <vt:lpstr>CapitalPreferredStart</vt:lpstr>
      <vt:lpstr>CapitalShort</vt:lpstr>
      <vt:lpstr>CapitalShortStart</vt:lpstr>
      <vt:lpstr>CompBonus</vt:lpstr>
      <vt:lpstr>CompFTE</vt:lpstr>
      <vt:lpstr>CompGrowth</vt:lpstr>
      <vt:lpstr>CompLoad</vt:lpstr>
      <vt:lpstr>CompSalary</vt:lpstr>
      <vt:lpstr>CompStartMonth</vt:lpstr>
      <vt:lpstr>CompTotal</vt:lpstr>
      <vt:lpstr>DepExp</vt:lpstr>
      <vt:lpstr>DepMos</vt:lpstr>
      <vt:lpstr>DepStop</vt:lpstr>
      <vt:lpstr>LoanCohortMonth</vt:lpstr>
      <vt:lpstr>LoanCohortRate</vt:lpstr>
      <vt:lpstr>LoanCostCommission</vt:lpstr>
      <vt:lpstr>LoanCostProcessing</vt:lpstr>
      <vt:lpstr>LoanCostReferral</vt:lpstr>
      <vt:lpstr>LoanGrowth</vt:lpstr>
      <vt:lpstr>LoanOriginations</vt:lpstr>
      <vt:lpstr>LoanQuantity</vt:lpstr>
      <vt:lpstr>LoanRateMonth</vt:lpstr>
      <vt:lpstr>LoanRates</vt:lpstr>
      <vt:lpstr>LoanRevApplication</vt:lpstr>
      <vt:lpstr>LoanRevDelinquency</vt:lpstr>
      <vt:lpstr>LoanRevOrigination</vt:lpstr>
      <vt:lpstr>LoanRevServicing</vt:lpstr>
      <vt:lpstr>LoanSaleHeld</vt:lpstr>
      <vt:lpstr>LoanSalePercent</vt:lpstr>
      <vt:lpstr>LoanSalePremium</vt:lpstr>
      <vt:lpstr>LoanSize</vt:lpstr>
      <vt:lpstr>LoanTerm</vt:lpstr>
      <vt:lpstr>MitigateChargeoff</vt:lpstr>
      <vt:lpstr>MitigateDelinquency</vt:lpstr>
      <vt:lpstr>MitigateReserves</vt:lpstr>
      <vt:lpstr>OtherMinCash</vt:lpstr>
      <vt:lpstr>OtherTaxes</vt:lpstr>
      <vt:lpstr>OverheadAmount</vt:lpstr>
      <vt:lpstr>OverheadGrowth</vt:lpstr>
      <vt:lpstr>Balance!Print_Area</vt:lpstr>
      <vt:lpstr>CapEx!Print_Area</vt:lpstr>
      <vt:lpstr>Cash!Print_Area</vt:lpstr>
      <vt:lpstr>Credit!Print_Area</vt:lpstr>
      <vt:lpstr>Drivers!Print_Area</vt:lpstr>
      <vt:lpstr>Income!Print_Area</vt:lpstr>
      <vt:lpstr>Loans!Print_Area</vt:lpstr>
      <vt:lpstr>Summary!Print_Area</vt:lpstr>
      <vt:lpstr>Balance!Print_Titles</vt:lpstr>
      <vt:lpstr>CapEx!Print_Titles</vt:lpstr>
      <vt:lpstr>Cash!Print_Titles</vt:lpstr>
      <vt:lpstr>Credit!Print_Titles</vt:lpstr>
      <vt:lpstr>Income!Print_Titles</vt:lpstr>
      <vt:lpstr>Loans!Print_Titles</vt:lpstr>
      <vt:lpstr>RateCommon</vt:lpstr>
      <vt:lpstr>RateCredit</vt:lpstr>
      <vt:lpstr>RateLong</vt:lpstr>
      <vt:lpstr>RatePreferred</vt:lpstr>
      <vt:lpstr>RateShort</vt:lpstr>
      <vt:lpstr>SalGain</vt:lpstr>
      <vt:lpstr>SalNAV</vt:lpstr>
      <vt:lpstr>SalOff</vt:lpstr>
      <vt:lpstr>ValTerminal</vt:lpstr>
      <vt:lpstr>WACC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2026-10-04T23:33:09Z</dcterms:created>
  <dcterms:modified xsi:type="dcterms:W3CDTF">2026-10-04T23:42:07Z</dcterms:modified>
</cp:coreProperties>
</file>