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E08455EA-6176-4C5E-AA7A-B4403F7E924E}" xr6:coauthVersionLast="47" xr6:coauthVersionMax="47" xr10:uidLastSave="{00000000-0000-0000-0000-000000000000}"/>
  <bookViews>
    <workbookView xWindow="-108" yWindow="-108" windowWidth="23256" windowHeight="12456" tabRatio="718" xr2:uid="{14AF6CFA-4DFC-4CB6-A0C3-3F80EDC9946A}"/>
  </bookViews>
  <sheets>
    <sheet name="ℹ️ " sheetId="21" r:id="rId1"/>
    <sheet name="Funding" sheetId="10" r:id="rId2"/>
    <sheet name="Cap" sheetId="25" r:id="rId3"/>
    <sheet name="Shares" sheetId="22" r:id="rId4"/>
    <sheet name="Equity" sheetId="24" r:id="rId5"/>
  </sheets>
  <definedNames>
    <definedName name="MinimumCash">#REF!</definedName>
    <definedName name="_xlnm.Print_Area" localSheetId="2">Cap!$C$3:$V$26</definedName>
    <definedName name="_xlnm.Print_Area" localSheetId="4">Equity!$C$3:$J$28</definedName>
    <definedName name="_xlnm.Print_Area" localSheetId="1">Funding!$C$3:$W$30</definedName>
    <definedName name="_xlnm.Print_Area" localSheetId="0">'ℹ️ '!$B$2:$G$18</definedName>
    <definedName name="_xlnm.Print_Area" localSheetId="3">Shares!$C$3:$J$32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0" l="1"/>
  <c r="G23" i="25"/>
  <c r="I25" i="25"/>
  <c r="J25" i="25" s="1"/>
  <c r="J12" i="25" s="1"/>
  <c r="H24" i="25"/>
  <c r="H29" i="10"/>
  <c r="G15" i="22"/>
  <c r="G30" i="22" s="1"/>
  <c r="G12" i="24" s="1"/>
  <c r="H15" i="22"/>
  <c r="H30" i="22" s="1"/>
  <c r="H12" i="24" s="1"/>
  <c r="I15" i="22"/>
  <c r="I30" i="22" s="1"/>
  <c r="I12" i="24" s="1"/>
  <c r="J15" i="22"/>
  <c r="J30" i="22" s="1"/>
  <c r="J12" i="24" s="1"/>
  <c r="G28" i="24" l="1"/>
  <c r="G9" i="24"/>
  <c r="H28" i="24"/>
  <c r="I28" i="24"/>
  <c r="J28" i="24"/>
  <c r="J9" i="24"/>
  <c r="I9" i="24"/>
  <c r="H9" i="24"/>
  <c r="G26" i="25"/>
  <c r="I30" i="10"/>
  <c r="J15" i="25" l="1"/>
  <c r="J13" i="25"/>
  <c r="J9" i="25"/>
  <c r="J8" i="25"/>
  <c r="G8" i="24" l="1"/>
  <c r="H8" i="24"/>
  <c r="I8" i="24"/>
  <c r="J8" i="24"/>
  <c r="L27" i="10" l="1"/>
  <c r="K27" i="10"/>
  <c r="T17" i="10"/>
  <c r="U17" i="10" s="1"/>
  <c r="V17" i="10" s="1"/>
  <c r="W17" i="10" s="1"/>
  <c r="T9" i="10"/>
  <c r="U9" i="10" s="1"/>
  <c r="V9" i="10" s="1"/>
  <c r="W9" i="10" s="1"/>
  <c r="J27" i="10" l="1"/>
  <c r="I27" i="10"/>
  <c r="H17" i="10"/>
  <c r="I12" i="25" l="1"/>
  <c r="H11" i="25"/>
  <c r="G8" i="25" l="1"/>
  <c r="S8" i="25" s="1"/>
  <c r="H8" i="25"/>
  <c r="I8" i="25"/>
  <c r="G9" i="25"/>
  <c r="S9" i="25" s="1"/>
  <c r="H9" i="25"/>
  <c r="I9" i="25"/>
  <c r="G13" i="25"/>
  <c r="S13" i="25" s="1"/>
  <c r="H13" i="25"/>
  <c r="I13" i="25"/>
  <c r="F9" i="25"/>
  <c r="F13" i="25"/>
  <c r="F8" i="25"/>
  <c r="H30" i="10"/>
  <c r="R13" i="25" l="1"/>
  <c r="R8" i="25"/>
  <c r="R9" i="25"/>
  <c r="G10" i="25"/>
  <c r="S10" i="25" s="1"/>
  <c r="R16" i="25" l="1"/>
  <c r="I24" i="10"/>
  <c r="I29" i="10" s="1"/>
  <c r="T10" i="10" l="1"/>
  <c r="T18" i="10"/>
  <c r="S10" i="10"/>
  <c r="S18" i="10"/>
  <c r="I14" i="10"/>
  <c r="I16" i="10" s="1"/>
  <c r="G14" i="25" l="1"/>
  <c r="S14" i="25" s="1"/>
  <c r="S16" i="25" s="1"/>
  <c r="S19" i="10" a="1"/>
  <c r="S19" i="10" s="1"/>
  <c r="S20" i="10" s="1"/>
  <c r="R19" i="25" s="1"/>
  <c r="T19" i="10" a="1"/>
  <c r="T19" i="10" s="1"/>
  <c r="T20" i="10" s="1"/>
  <c r="S19" i="25" s="1"/>
  <c r="T11" i="10" a="1"/>
  <c r="T11" i="10" s="1"/>
  <c r="T12" i="10" s="1"/>
  <c r="S18" i="25" s="1"/>
  <c r="S11" i="10" a="1"/>
  <c r="S11" i="10" s="1"/>
  <c r="S12" i="10" s="1"/>
  <c r="R18" i="25" s="1"/>
  <c r="I17" i="10"/>
  <c r="J10" i="10"/>
  <c r="H23" i="25" s="1"/>
  <c r="J30" i="10"/>
  <c r="S20" i="25" l="1"/>
  <c r="R20" i="25"/>
  <c r="U10" i="10"/>
  <c r="U11" i="10" s="1" a="1"/>
  <c r="U11" i="10" s="1"/>
  <c r="U18" i="10"/>
  <c r="U19" i="10" s="1" a="1"/>
  <c r="U19" i="10" s="1"/>
  <c r="G18" i="25"/>
  <c r="F18" i="25"/>
  <c r="T11" i="25"/>
  <c r="J25" i="10"/>
  <c r="T8" i="25"/>
  <c r="T9" i="25"/>
  <c r="T13" i="25"/>
  <c r="J24" i="10"/>
  <c r="J14" i="10"/>
  <c r="J16" i="10" s="1"/>
  <c r="F19" i="25"/>
  <c r="G19" i="25"/>
  <c r="J29" i="10" l="1"/>
  <c r="H14" i="25"/>
  <c r="T14" i="25" s="1"/>
  <c r="H26" i="25"/>
  <c r="U20" i="10"/>
  <c r="T19" i="25" s="1"/>
  <c r="U12" i="10"/>
  <c r="T18" i="25" s="1"/>
  <c r="K30" i="10"/>
  <c r="K11" i="10"/>
  <c r="J17" i="10"/>
  <c r="H10" i="25"/>
  <c r="T10" i="25" s="1"/>
  <c r="I24" i="25" l="1"/>
  <c r="J24" i="25" s="1"/>
  <c r="J11" i="25" s="1"/>
  <c r="V10" i="10"/>
  <c r="V11" i="10" s="1" a="1"/>
  <c r="V11" i="10" s="1"/>
  <c r="V18" i="10"/>
  <c r="V19" i="10" s="1" a="1"/>
  <c r="V19" i="10" s="1"/>
  <c r="T16" i="25"/>
  <c r="T20" i="25" s="1"/>
  <c r="U8" i="25"/>
  <c r="U9" i="25"/>
  <c r="U12" i="25"/>
  <c r="U13" i="25"/>
  <c r="K26" i="10"/>
  <c r="H18" i="25"/>
  <c r="H19" i="25"/>
  <c r="F16" i="25"/>
  <c r="F20" i="25" s="1"/>
  <c r="V20" i="10" l="1"/>
  <c r="U19" i="25" s="1"/>
  <c r="L18" i="25"/>
  <c r="L19" i="25"/>
  <c r="V12" i="10"/>
  <c r="U18" i="25" s="1"/>
  <c r="K14" i="10"/>
  <c r="L8" i="25"/>
  <c r="G16" i="25"/>
  <c r="G20" i="25" s="1"/>
  <c r="I14" i="25" l="1"/>
  <c r="U14" i="25" s="1"/>
  <c r="M14" i="25"/>
  <c r="M18" i="25"/>
  <c r="M19" i="25"/>
  <c r="I19" i="25"/>
  <c r="L13" i="25"/>
  <c r="L9" i="25"/>
  <c r="M9" i="25"/>
  <c r="H16" i="25"/>
  <c r="H20" i="25" s="1"/>
  <c r="N14" i="25" l="1"/>
  <c r="N18" i="25"/>
  <c r="N19" i="25"/>
  <c r="I18" i="25"/>
  <c r="M13" i="25"/>
  <c r="M10" i="25"/>
  <c r="M8" i="25"/>
  <c r="N13" i="25"/>
  <c r="L16" i="25"/>
  <c r="N10" i="25" l="1"/>
  <c r="N11" i="25"/>
  <c r="N8" i="25"/>
  <c r="N9" i="25"/>
  <c r="L20" i="25"/>
  <c r="M16" i="25"/>
  <c r="M20" i="25" l="1"/>
  <c r="N16" i="25"/>
  <c r="N20" i="25" l="1"/>
  <c r="I11" i="25" l="1"/>
  <c r="U11" i="25" s="1"/>
  <c r="K10" i="10"/>
  <c r="K25" i="10"/>
  <c r="K16" i="10" l="1"/>
  <c r="I23" i="25"/>
  <c r="J23" i="25" s="1"/>
  <c r="J10" i="25" s="1"/>
  <c r="K24" i="10"/>
  <c r="K29" i="10" s="1"/>
  <c r="K17" i="10"/>
  <c r="L30" i="10" s="1"/>
  <c r="I10" i="25"/>
  <c r="U10" i="25" s="1"/>
  <c r="J19" i="24" l="1"/>
  <c r="G18" i="24"/>
  <c r="G17" i="24"/>
  <c r="I19" i="24"/>
  <c r="J18" i="24"/>
  <c r="H19" i="24"/>
  <c r="H17" i="24"/>
  <c r="I17" i="24"/>
  <c r="G19" i="24"/>
  <c r="J17" i="24"/>
  <c r="I18" i="24"/>
  <c r="H18" i="24"/>
  <c r="J26" i="25"/>
  <c r="I26" i="25"/>
  <c r="W10" i="10"/>
  <c r="W11" i="10" s="1" a="1"/>
  <c r="W11" i="10" s="1"/>
  <c r="W18" i="10"/>
  <c r="W19" i="10" s="1" a="1"/>
  <c r="W19" i="10" s="1"/>
  <c r="U16" i="25"/>
  <c r="I16" i="25"/>
  <c r="I20" i="25" s="1"/>
  <c r="H20" i="24" l="1"/>
  <c r="I20" i="24"/>
  <c r="G20" i="24"/>
  <c r="J20" i="24"/>
  <c r="H24" i="24" a="1"/>
  <c r="H24" i="24" s="1"/>
  <c r="G24" i="24" a="1"/>
  <c r="G24" i="24" s="1"/>
  <c r="J24" i="24" a="1"/>
  <c r="J24" i="24" s="1"/>
  <c r="I24" i="24" a="1"/>
  <c r="I24" i="24" s="1"/>
  <c r="H23" i="24" a="1"/>
  <c r="H23" i="24" s="1"/>
  <c r="I23" i="24" a="1"/>
  <c r="I23" i="24" s="1"/>
  <c r="G23" i="24" a="1"/>
  <c r="G23" i="24" s="1"/>
  <c r="J23" i="24" a="1"/>
  <c r="J23" i="24" s="1"/>
  <c r="W20" i="10"/>
  <c r="J11" i="24" a="1"/>
  <c r="J11" i="24" s="1"/>
  <c r="H11" i="24" a="1"/>
  <c r="H11" i="24" s="1"/>
  <c r="I11" i="24" a="1"/>
  <c r="I11" i="24" s="1"/>
  <c r="G11" i="24" a="1"/>
  <c r="G11" i="24" s="1"/>
  <c r="J20" i="22" a="1"/>
  <c r="J20" i="22" s="1"/>
  <c r="I10" i="24" a="1"/>
  <c r="I10" i="24" s="1"/>
  <c r="J10" i="24" a="1"/>
  <c r="J10" i="24" s="1"/>
  <c r="G10" i="24" a="1"/>
  <c r="G10" i="24" s="1"/>
  <c r="H10" i="24" a="1"/>
  <c r="H10" i="24" s="1"/>
  <c r="V10" i="25"/>
  <c r="J23" i="22" a="1"/>
  <c r="J23" i="22" s="1"/>
  <c r="G23" i="22" a="1"/>
  <c r="G23" i="22" s="1"/>
  <c r="H23" i="22" a="1"/>
  <c r="H23" i="22" s="1"/>
  <c r="I23" i="22" a="1"/>
  <c r="I23" i="22" s="1"/>
  <c r="G20" i="22" a="1"/>
  <c r="G20" i="22" s="1"/>
  <c r="I20" i="22" a="1"/>
  <c r="I20" i="22" s="1"/>
  <c r="H20" i="22" a="1"/>
  <c r="H20" i="22" s="1"/>
  <c r="O10" i="25"/>
  <c r="O19" i="25"/>
  <c r="O18" i="25"/>
  <c r="U20" i="25"/>
  <c r="V11" i="25"/>
  <c r="V8" i="25"/>
  <c r="V12" i="25"/>
  <c r="V13" i="25"/>
  <c r="V15" i="25"/>
  <c r="V9" i="25"/>
  <c r="O11" i="25"/>
  <c r="O14" i="25"/>
  <c r="O9" i="25"/>
  <c r="O13" i="25"/>
  <c r="O12" i="25"/>
  <c r="O8" i="25"/>
  <c r="J19" i="25"/>
  <c r="F8" i="22"/>
  <c r="L14" i="10"/>
  <c r="L16" i="10" s="1"/>
  <c r="L28" i="10"/>
  <c r="L29" i="10" s="1"/>
  <c r="I25" i="24" l="1"/>
  <c r="H25" i="24"/>
  <c r="G25" i="24"/>
  <c r="J14" i="25"/>
  <c r="J16" i="25" s="1"/>
  <c r="J25" i="24"/>
  <c r="F11" i="24" a="1"/>
  <c r="F11" i="24" s="1"/>
  <c r="F10" i="24" a="1"/>
  <c r="F10" i="24" s="1"/>
  <c r="H24" i="22"/>
  <c r="J24" i="22"/>
  <c r="G24" i="22"/>
  <c r="I24" i="22"/>
  <c r="F23" i="22" a="1"/>
  <c r="F23" i="22" s="1"/>
  <c r="F20" i="22" a="1"/>
  <c r="F20" i="22" s="1"/>
  <c r="F8" i="24"/>
  <c r="O16" i="25"/>
  <c r="O20" i="25" s="1"/>
  <c r="V19" i="25"/>
  <c r="L17" i="10"/>
  <c r="F9" i="22" s="1"/>
  <c r="V14" i="25" l="1"/>
  <c r="V16" i="25" s="1"/>
  <c r="F18" i="24"/>
  <c r="F19" i="24"/>
  <c r="F17" i="24"/>
  <c r="F23" i="24" a="1"/>
  <c r="F23" i="24" s="1"/>
  <c r="F24" i="24" a="1"/>
  <c r="F24" i="24" s="1"/>
  <c r="F24" i="22"/>
  <c r="F15" i="22"/>
  <c r="J18" i="25"/>
  <c r="J20" i="25" s="1"/>
  <c r="P18" i="25" s="1"/>
  <c r="W12" i="10"/>
  <c r="V18" i="25" s="1"/>
  <c r="H13" i="24"/>
  <c r="H14" i="24" s="1"/>
  <c r="H27" i="24" s="1"/>
  <c r="H32" i="22"/>
  <c r="J13" i="24"/>
  <c r="J14" i="24" s="1"/>
  <c r="J27" i="24" s="1"/>
  <c r="I32" i="22"/>
  <c r="J32" i="22"/>
  <c r="G32" i="22"/>
  <c r="G13" i="24"/>
  <c r="G14" i="24" s="1"/>
  <c r="G27" i="24" s="1"/>
  <c r="I13" i="24"/>
  <c r="I14" i="24" s="1"/>
  <c r="I27" i="24" s="1"/>
  <c r="V20" i="25" l="1"/>
  <c r="F20" i="24"/>
  <c r="F9" i="24"/>
  <c r="F28" i="24"/>
  <c r="F25" i="24"/>
  <c r="F30" i="22"/>
  <c r="P8" i="25"/>
  <c r="P12" i="25"/>
  <c r="P15" i="25"/>
  <c r="P13" i="25"/>
  <c r="P9" i="25"/>
  <c r="P11" i="25"/>
  <c r="P10" i="25"/>
  <c r="P19" i="25"/>
  <c r="P14" i="25"/>
  <c r="F12" i="24" l="1"/>
  <c r="F13" i="24" s="1"/>
  <c r="F14" i="24" s="1"/>
  <c r="F27" i="24" s="1"/>
  <c r="F32" i="22"/>
  <c r="P16" i="25"/>
  <c r="P20" i="2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F8BA8C91-96E1-4D6F-A916-4E671E1316EF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0CD008EA-FCE1-4ABE-86D9-114C1F40555A}">
      <text/>
    </comment>
    <comment ref="Q11" authorId="0" shapeId="0" xr:uid="{E7D68631-6688-4EFA-A22E-6AD990570200}">
      <text>
        <r>
          <rPr>
            <sz val="9"/>
            <color indexed="81"/>
            <rFont val="Calibri"/>
            <family val="2"/>
            <scheme val="minor"/>
          </rPr>
          <t>CSE and Value feed Cap tables</t>
        </r>
      </text>
    </comment>
    <comment ref="D16" authorId="0" shapeId="0" xr:uid="{66CEB958-9D52-4243-8893-B921EF2CDE3F}">
      <text>
        <r>
          <rPr>
            <sz val="9"/>
            <color indexed="81"/>
            <rFont val="Calibri"/>
            <family val="2"/>
            <scheme val="minor"/>
          </rPr>
          <t>Feeds shares outstanding for pre-IPO rounds in Shares table on Cap tab</t>
        </r>
      </text>
    </comment>
    <comment ref="L17" authorId="0" shapeId="0" xr:uid="{495F6710-A06F-469F-B30A-171A42856155}">
      <text>
        <r>
          <rPr>
            <sz val="9"/>
            <color indexed="81"/>
            <rFont val="Calibri"/>
            <family val="2"/>
            <scheme val="minor"/>
          </rPr>
          <t>Feeds shares outstanding for IPO round in Shares table on Cap tab</t>
        </r>
      </text>
    </comment>
    <comment ref="Q19" authorId="0" shapeId="0" xr:uid="{351674B4-2C2B-4C9F-82E7-4AC99D7691E5}">
      <text>
        <r>
          <rPr>
            <sz val="9"/>
            <color indexed="81"/>
            <rFont val="Calibri"/>
            <family val="2"/>
            <scheme val="minor"/>
          </rPr>
          <t>CSE and Value feed Cap tables</t>
        </r>
      </text>
    </comment>
    <comment ref="D30" authorId="0" shapeId="0" xr:uid="{303F49C9-9FC2-4FFF-B48B-2DB497AFD337}">
      <text>
        <r>
          <rPr>
            <sz val="9"/>
            <color indexed="81"/>
            <rFont val="Calibri"/>
            <family val="2"/>
            <scheme val="minor"/>
          </rPr>
          <t>Feeds Value table on Cap tab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855C24B8-7706-403D-B1E0-AA001EC0037E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D20" authorId="0" shapeId="0" xr:uid="{4CFA0CE2-69F7-4B77-A172-FD2A08705DA2}">
      <text>
        <r>
          <rPr>
            <sz val="9"/>
            <color indexed="81"/>
            <rFont val="Calibri"/>
            <family val="2"/>
            <scheme val="minor"/>
          </rPr>
          <t>Preferred shares shown as-converted in IPO round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FBFCC9E8-19F8-42C4-8A59-CA38E2DE502B}">
      <text>
        <r>
          <rPr>
            <sz val="9"/>
            <color indexed="81"/>
            <rFont val="Tahoma"/>
            <family val="2"/>
          </rPr>
          <t xml:space="preserve">
</t>
        </r>
      </text>
    </comment>
    <comment ref="D24" authorId="0" shapeId="0" xr:uid="{6EE8154C-C5AF-43D7-B30E-9AF3FC05C367}">
      <text>
        <r>
          <rPr>
            <sz val="9"/>
            <color indexed="81"/>
            <rFont val="Calibri"/>
            <family val="2"/>
            <scheme val="minor"/>
          </rPr>
          <t>TSM per ASC 260; exercises test ITM for historical grants using weighted avg strike price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11CB529E-E549-4C5C-A39D-AB7845894D44}">
      <text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<sst xmlns="http://schemas.openxmlformats.org/spreadsheetml/2006/main" count="186" uniqueCount="125">
  <si>
    <t>Series A</t>
  </si>
  <si>
    <t>Series B</t>
  </si>
  <si>
    <t>Series C</t>
  </si>
  <si>
    <t>IPO</t>
  </si>
  <si>
    <t>info</t>
  </si>
  <si>
    <t>Pre-money</t>
  </si>
  <si>
    <t>Seed</t>
  </si>
  <si>
    <t>Group A</t>
  </si>
  <si>
    <t>Group B</t>
  </si>
  <si>
    <t>Group C</t>
  </si>
  <si>
    <t>Founders</t>
  </si>
  <si>
    <t>In thousands</t>
  </si>
  <si>
    <t>Equity Value</t>
  </si>
  <si>
    <t>Options</t>
  </si>
  <si>
    <t>Warrants</t>
  </si>
  <si>
    <t>Total</t>
  </si>
  <si>
    <t>Shares Outstanding</t>
  </si>
  <si>
    <t>Fundraising</t>
  </si>
  <si>
    <t>Calculations</t>
  </si>
  <si>
    <t>Mechanics</t>
  </si>
  <si>
    <t xml:space="preserve">Instruments </t>
  </si>
  <si>
    <t xml:space="preserve"> Pro-rata investment</t>
  </si>
  <si>
    <t xml:space="preserve"> Treas. stock method</t>
  </si>
  <si>
    <t xml:space="preserve"> Common</t>
  </si>
  <si>
    <t xml:space="preserve"> Restricted stock</t>
  </si>
  <si>
    <t xml:space="preserve"> Convertible notes</t>
  </si>
  <si>
    <t xml:space="preserve"> Buybacks</t>
  </si>
  <si>
    <t xml:space="preserve"> ESPP purchases</t>
  </si>
  <si>
    <t xml:space="preserve"> Post-money valuation</t>
  </si>
  <si>
    <t xml:space="preserve"> Price per share</t>
  </si>
  <si>
    <t xml:space="preserve"> Fully-diluted shares</t>
  </si>
  <si>
    <t xml:space="preserve"> Proceeds from exercises</t>
  </si>
  <si>
    <t xml:space="preserve"> Market capitalization</t>
  </si>
  <si>
    <t xml:space="preserve"> Net common equity</t>
  </si>
  <si>
    <t xml:space="preserve"> Ownership by round </t>
  </si>
  <si>
    <t xml:space="preserve"> Valuation by round</t>
  </si>
  <si>
    <t xml:space="preserve"> Equity value bridge</t>
  </si>
  <si>
    <t>Restricted stock</t>
  </si>
  <si>
    <t>Cap Tables</t>
  </si>
  <si>
    <t>Discount</t>
  </si>
  <si>
    <t>Price/share</t>
  </si>
  <si>
    <t>Total outstanding</t>
  </si>
  <si>
    <t>In thousands except prices</t>
  </si>
  <si>
    <t xml:space="preserve"> Liquidity preference</t>
  </si>
  <si>
    <t xml:space="preserve"> Conversion ratio</t>
  </si>
  <si>
    <t>Layouts</t>
  </si>
  <si>
    <t xml:space="preserve"> 5 scenarios</t>
  </si>
  <si>
    <t xml:space="preserve"> Exercise proceeds</t>
  </si>
  <si>
    <t xml:space="preserve"> Conversion</t>
  </si>
  <si>
    <t>Frds / Fam / Angel</t>
  </si>
  <si>
    <t>Pro rata</t>
  </si>
  <si>
    <t>Starting balance</t>
  </si>
  <si>
    <t xml:space="preserve"> A, B, &amp; C Preferred</t>
  </si>
  <si>
    <t xml:space="preserve"> Options &amp; Warrants</t>
  </si>
  <si>
    <t xml:space="preserve"> 4 funding rounds + IPO</t>
  </si>
  <si>
    <t xml:space="preserve"> Dilutive effects / CSE</t>
  </si>
  <si>
    <t xml:space="preserve"> Grants &amp; exercises</t>
  </si>
  <si>
    <t>Public float</t>
  </si>
  <si>
    <t>Convertible debt</t>
  </si>
  <si>
    <t>Class A</t>
  </si>
  <si>
    <t>Class B</t>
  </si>
  <si>
    <t>Class C</t>
  </si>
  <si>
    <t>Strike price</t>
  </si>
  <si>
    <t>Grant</t>
  </si>
  <si>
    <t>Float</t>
  </si>
  <si>
    <t>Convertible notes</t>
  </si>
  <si>
    <t xml:space="preserve">  + Restricted stock</t>
  </si>
  <si>
    <t xml:space="preserve">  + Employee SPP</t>
  </si>
  <si>
    <t xml:space="preserve">  ⎯ Buybacks</t>
  </si>
  <si>
    <t>Class A OTM</t>
  </si>
  <si>
    <t>Class B OTM</t>
  </si>
  <si>
    <t>Class C OTM</t>
  </si>
  <si>
    <t>Share price</t>
  </si>
  <si>
    <t>Share Price</t>
  </si>
  <si>
    <t>Liquid Pref</t>
  </si>
  <si>
    <t>Debt raised</t>
  </si>
  <si>
    <t>Price discount</t>
  </si>
  <si>
    <t>Shares cap</t>
  </si>
  <si>
    <t xml:space="preserve">  + Exercised options</t>
  </si>
  <si>
    <t xml:space="preserve">  + Exercised warrants</t>
  </si>
  <si>
    <t>Common equivalent</t>
  </si>
  <si>
    <t>From options</t>
  </si>
  <si>
    <t>From warrants</t>
  </si>
  <si>
    <t>Gross diluted shares</t>
  </si>
  <si>
    <t>Basic</t>
  </si>
  <si>
    <t>Total proceeds</t>
  </si>
  <si>
    <t>Preferences</t>
  </si>
  <si>
    <t>Total unadjusted</t>
  </si>
  <si>
    <r>
      <rPr>
        <sz val="10.5"/>
        <color theme="1"/>
        <rFont val="Segoe UI Semibold"/>
        <family val="2"/>
      </rPr>
      <t>S</t>
    </r>
    <r>
      <rPr>
        <sz val="9"/>
        <color theme="1"/>
        <rFont val="Segoe UI Semibold"/>
        <family val="2"/>
      </rPr>
      <t>HARES</t>
    </r>
  </si>
  <si>
    <r>
      <rPr>
        <sz val="10.5"/>
        <color theme="1"/>
        <rFont val="Segoe UI Semibold"/>
        <family val="2"/>
      </rPr>
      <t>I</t>
    </r>
    <r>
      <rPr>
        <sz val="9"/>
        <color theme="1"/>
        <rFont val="Segoe UI Semibold"/>
        <family val="2"/>
      </rPr>
      <t>NVESTMENT</t>
    </r>
  </si>
  <si>
    <r>
      <rPr>
        <sz val="10.5"/>
        <color theme="1"/>
        <rFont val="Segoe UI Semibold"/>
        <family val="2"/>
      </rPr>
      <t>O</t>
    </r>
    <r>
      <rPr>
        <sz val="9"/>
        <color theme="1"/>
        <rFont val="Segoe UI Semibold"/>
        <family val="2"/>
      </rPr>
      <t>PTIONS</t>
    </r>
  </si>
  <si>
    <r>
      <rPr>
        <sz val="10.5"/>
        <color theme="1"/>
        <rFont val="Segoe UI Semibold"/>
        <family val="2"/>
      </rPr>
      <t>W</t>
    </r>
    <r>
      <rPr>
        <sz val="9"/>
        <color theme="1"/>
        <rFont val="Segoe UI Semibold"/>
        <family val="2"/>
      </rPr>
      <t>ARRANTS</t>
    </r>
  </si>
  <si>
    <r>
      <rPr>
        <sz val="10.5"/>
        <color theme="1"/>
        <rFont val="Segoe UI Semibold"/>
        <family val="2"/>
      </rPr>
      <t>C</t>
    </r>
    <r>
      <rPr>
        <sz val="9"/>
        <color theme="1"/>
        <rFont val="Segoe UI Semibold"/>
        <family val="2"/>
      </rPr>
      <t xml:space="preserve">ONVERTIBLE </t>
    </r>
    <r>
      <rPr>
        <sz val="10.5"/>
        <color theme="1"/>
        <rFont val="Segoe UI Semibold"/>
        <family val="2"/>
      </rPr>
      <t>N</t>
    </r>
    <r>
      <rPr>
        <sz val="9"/>
        <color theme="1"/>
        <rFont val="Segoe UI Semibold"/>
        <family val="2"/>
      </rPr>
      <t>OTES</t>
    </r>
  </si>
  <si>
    <r>
      <rPr>
        <sz val="10.5"/>
        <color theme="1"/>
        <rFont val="Segoe UI Semibold"/>
        <family val="2"/>
      </rPr>
      <t>S</t>
    </r>
    <r>
      <rPr>
        <sz val="9"/>
        <color theme="1"/>
        <rFont val="Segoe UI Semibold"/>
        <family val="2"/>
      </rPr>
      <t>TAKE</t>
    </r>
  </si>
  <si>
    <r>
      <rPr>
        <sz val="10.5"/>
        <color theme="1"/>
        <rFont val="Segoe UI Semibold"/>
        <family val="2"/>
      </rPr>
      <t>V</t>
    </r>
    <r>
      <rPr>
        <sz val="9"/>
        <color theme="1"/>
        <rFont val="Segoe UI Semibold"/>
        <family val="2"/>
      </rPr>
      <t>ALUE</t>
    </r>
  </si>
  <si>
    <r>
      <rPr>
        <sz val="10.5"/>
        <color theme="1"/>
        <rFont val="Segoe UI Semibold"/>
        <family val="2"/>
      </rPr>
      <t>S</t>
    </r>
    <r>
      <rPr>
        <sz val="9"/>
        <color theme="1"/>
        <rFont val="Segoe UI Semibold"/>
        <family val="2"/>
      </rPr>
      <t xml:space="preserve">HARES </t>
    </r>
    <r>
      <rPr>
        <sz val="10.5"/>
        <color theme="1"/>
        <rFont val="Segoe UI Semibold"/>
        <family val="2"/>
      </rPr>
      <t>O</t>
    </r>
    <r>
      <rPr>
        <sz val="9"/>
        <color theme="1"/>
        <rFont val="Segoe UI Semibold"/>
        <family val="2"/>
      </rPr>
      <t>UTSTANDING</t>
    </r>
  </si>
  <si>
    <r>
      <rPr>
        <sz val="10.5"/>
        <color theme="1"/>
        <rFont val="Segoe UI Semibold"/>
        <family val="2"/>
      </rPr>
      <t>O</t>
    </r>
    <r>
      <rPr>
        <sz val="9"/>
        <color theme="1"/>
        <rFont val="Segoe UI Semibold"/>
        <family val="2"/>
      </rPr>
      <t xml:space="preserve">PTIONS &amp; </t>
    </r>
    <r>
      <rPr>
        <sz val="10.5"/>
        <color theme="1"/>
        <rFont val="Segoe UI Semibold"/>
        <family val="2"/>
      </rPr>
      <t>W</t>
    </r>
    <r>
      <rPr>
        <sz val="9"/>
        <color theme="1"/>
        <rFont val="Segoe UI Semibold"/>
        <family val="2"/>
      </rPr>
      <t>ARRANTS</t>
    </r>
  </si>
  <si>
    <r>
      <t>Scenario</t>
    </r>
    <r>
      <rPr>
        <sz val="7"/>
        <rFont val="Segoe UI Semibold"/>
        <family val="2"/>
      </rPr>
      <t xml:space="preserve"> </t>
    </r>
    <r>
      <rPr>
        <sz val="8.5"/>
        <rFont val="Segoe UI Semibold"/>
        <family val="2"/>
      </rPr>
      <t>2</t>
    </r>
  </si>
  <si>
    <r>
      <t>Scenario</t>
    </r>
    <r>
      <rPr>
        <sz val="7"/>
        <rFont val="Segoe UI Semibold"/>
        <family val="2"/>
      </rPr>
      <t xml:space="preserve"> </t>
    </r>
    <r>
      <rPr>
        <sz val="8.5"/>
        <rFont val="Segoe UI Semibold"/>
        <family val="2"/>
      </rPr>
      <t>1</t>
    </r>
  </si>
  <si>
    <r>
      <t>Scenario</t>
    </r>
    <r>
      <rPr>
        <sz val="7"/>
        <rFont val="Segoe UI Semibold"/>
        <family val="2"/>
      </rPr>
      <t xml:space="preserve"> </t>
    </r>
    <r>
      <rPr>
        <sz val="8.5"/>
        <rFont val="Segoe UI Semibold"/>
        <family val="2"/>
      </rPr>
      <t>3</t>
    </r>
  </si>
  <si>
    <r>
      <t>Scenario</t>
    </r>
    <r>
      <rPr>
        <sz val="7"/>
        <rFont val="Segoe UI Semibold"/>
        <family val="2"/>
      </rPr>
      <t xml:space="preserve"> </t>
    </r>
    <r>
      <rPr>
        <sz val="8.5"/>
        <rFont val="Segoe UI Semibold"/>
        <family val="2"/>
      </rPr>
      <t>4</t>
    </r>
  </si>
  <si>
    <r>
      <rPr>
        <sz val="10.5"/>
        <color theme="1"/>
        <rFont val="Segoe UI Semibold"/>
        <family val="2"/>
      </rPr>
      <t>U</t>
    </r>
    <r>
      <rPr>
        <sz val="9"/>
        <color theme="1"/>
        <rFont val="Segoe UI Semibold"/>
        <family val="2"/>
      </rPr>
      <t xml:space="preserve">NADJUSTED </t>
    </r>
    <r>
      <rPr>
        <sz val="10.5"/>
        <color theme="1"/>
        <rFont val="Segoe UI Semibold"/>
        <family val="2"/>
      </rPr>
      <t>V</t>
    </r>
    <r>
      <rPr>
        <sz val="9"/>
        <color theme="1"/>
        <rFont val="Segoe UI Semibold"/>
        <family val="2"/>
      </rPr>
      <t>ALUE</t>
    </r>
  </si>
  <si>
    <r>
      <rPr>
        <sz val="10.5"/>
        <color theme="1"/>
        <rFont val="Segoe UI Semibold"/>
        <family val="2"/>
      </rPr>
      <t>L</t>
    </r>
    <r>
      <rPr>
        <sz val="9"/>
        <color theme="1"/>
        <rFont val="Segoe UI Semibold"/>
        <family val="2"/>
      </rPr>
      <t xml:space="preserve">IQUIDITY </t>
    </r>
    <r>
      <rPr>
        <sz val="10.5"/>
        <color theme="1"/>
        <rFont val="Segoe UI Semibold"/>
        <family val="2"/>
      </rPr>
      <t>P</t>
    </r>
    <r>
      <rPr>
        <sz val="9"/>
        <color theme="1"/>
        <rFont val="Segoe UI Semibold"/>
        <family val="2"/>
      </rPr>
      <t>REFERENCE</t>
    </r>
  </si>
  <si>
    <r>
      <rPr>
        <sz val="10.5"/>
        <color theme="1"/>
        <rFont val="Segoe UI Semibold"/>
        <family val="2"/>
      </rPr>
      <t>E</t>
    </r>
    <r>
      <rPr>
        <sz val="9"/>
        <color theme="1"/>
        <rFont val="Segoe UI Semibold"/>
        <family val="2"/>
      </rPr>
      <t xml:space="preserve">XERCISE </t>
    </r>
    <r>
      <rPr>
        <sz val="10.5"/>
        <color theme="1"/>
        <rFont val="Segoe UI Semibold"/>
        <family val="2"/>
      </rPr>
      <t>P</t>
    </r>
    <r>
      <rPr>
        <sz val="9"/>
        <color theme="1"/>
        <rFont val="Segoe UI Semibold"/>
        <family val="2"/>
      </rPr>
      <t>ROCEEDS</t>
    </r>
  </si>
  <si>
    <t xml:space="preserve"> Shares by round</t>
  </si>
  <si>
    <r>
      <rPr>
        <sz val="10.5"/>
        <rFont val="Segoe UI Semibold"/>
        <family val="2"/>
      </rPr>
      <t>A</t>
    </r>
    <r>
      <rPr>
        <sz val="9"/>
        <rFont val="Segoe UI Semibold"/>
        <family val="2"/>
      </rPr>
      <t xml:space="preserve">DJUSTED </t>
    </r>
    <r>
      <rPr>
        <sz val="10.5"/>
        <rFont val="Segoe UI Semibold"/>
        <family val="2"/>
      </rPr>
      <t>V</t>
    </r>
    <r>
      <rPr>
        <sz val="9"/>
        <rFont val="Segoe UI Semibold"/>
        <family val="2"/>
      </rPr>
      <t>ALUE</t>
    </r>
  </si>
  <si>
    <r>
      <rPr>
        <sz val="10.5"/>
        <rFont val="Segoe UI Semibold"/>
        <family val="2"/>
      </rPr>
      <t>M</t>
    </r>
    <r>
      <rPr>
        <sz val="9"/>
        <rFont val="Segoe UI Semibold"/>
        <family val="2"/>
      </rPr>
      <t xml:space="preserve">ARKET </t>
    </r>
    <r>
      <rPr>
        <sz val="10.5"/>
        <rFont val="Segoe UI Semibold"/>
        <family val="2"/>
      </rPr>
      <t>V</t>
    </r>
    <r>
      <rPr>
        <sz val="9"/>
        <rFont val="Segoe UI Semibold"/>
        <family val="2"/>
      </rPr>
      <t>ALUE</t>
    </r>
  </si>
  <si>
    <r>
      <rPr>
        <sz val="10.5"/>
        <color theme="1"/>
        <rFont val="Segoe UI Semibold"/>
        <family val="2"/>
      </rPr>
      <t>F</t>
    </r>
    <r>
      <rPr>
        <sz val="9"/>
        <color theme="1"/>
        <rFont val="Segoe UI Semibold"/>
        <family val="2"/>
      </rPr>
      <t xml:space="preserve">ULLY-DILUTED </t>
    </r>
    <r>
      <rPr>
        <sz val="10.5"/>
        <color theme="1"/>
        <rFont val="Segoe UI Semibold"/>
        <family val="2"/>
      </rPr>
      <t>S</t>
    </r>
    <r>
      <rPr>
        <sz val="9"/>
        <color theme="1"/>
        <rFont val="Segoe UI Semibold"/>
        <family val="2"/>
      </rPr>
      <t>HARES</t>
    </r>
  </si>
  <si>
    <t>Post money</t>
  </si>
  <si>
    <t>Converted shares</t>
  </si>
  <si>
    <t>Outstanding</t>
  </si>
  <si>
    <t>Fully-diluted</t>
  </si>
  <si>
    <r>
      <rPr>
        <sz val="10.5"/>
        <color theme="1"/>
        <rFont val="Segoe UI Semibold"/>
        <family val="2"/>
      </rPr>
      <t>C</t>
    </r>
    <r>
      <rPr>
        <sz val="9"/>
        <color theme="1"/>
        <rFont val="Segoe UI Semibold"/>
        <family val="2"/>
      </rPr>
      <t>ONVERTIBLE</t>
    </r>
  </si>
  <si>
    <r>
      <rPr>
        <sz val="6"/>
        <color theme="1"/>
        <rFont val="Segoe UI Semibold"/>
        <family val="2"/>
      </rPr>
      <t xml:space="preserve"> </t>
    </r>
    <r>
      <rPr>
        <sz val="10.5"/>
        <color theme="1"/>
        <rFont val="Segoe UI Semibold"/>
        <family val="2"/>
      </rPr>
      <t>N</t>
    </r>
    <r>
      <rPr>
        <sz val="9"/>
        <color theme="1"/>
        <rFont val="Segoe UI Semibold"/>
        <family val="2"/>
      </rPr>
      <t>OTES</t>
    </r>
  </si>
  <si>
    <t>Common equivalent shares</t>
  </si>
  <si>
    <t>Total shares outstanding</t>
  </si>
  <si>
    <t>Common equiv</t>
  </si>
  <si>
    <t>Net value</t>
  </si>
  <si>
    <t>Model the pre-IPO structure and evolution of the capital base</t>
  </si>
  <si>
    <r>
      <rPr>
        <sz val="11.5"/>
        <color theme="1"/>
        <rFont val="Segoe UI"/>
        <family val="2"/>
      </rPr>
      <t>•</t>
    </r>
    <r>
      <rPr>
        <sz val="9"/>
        <color theme="1"/>
        <rFont val="Segoe UI"/>
        <family val="2"/>
      </rPr>
      <t xml:space="preserve"> Amounts invested and shares received as the preference stack converts</t>
    </r>
  </si>
  <si>
    <r>
      <rPr>
        <sz val="11.5"/>
        <color theme="1"/>
        <rFont val="Segoe UI"/>
        <family val="2"/>
      </rPr>
      <t>•</t>
    </r>
    <r>
      <rPr>
        <sz val="9"/>
        <color theme="1"/>
        <rFont val="Segoe UI"/>
        <family val="2"/>
      </rPr>
      <t xml:space="preserve"> Capitalization waterfalls from seed round through liquidity event</t>
    </r>
  </si>
  <si>
    <r>
      <rPr>
        <sz val="11.5"/>
        <color theme="1"/>
        <rFont val="Segoe UI"/>
        <family val="2"/>
      </rPr>
      <t>•</t>
    </r>
    <r>
      <rPr>
        <sz val="9"/>
        <color theme="1"/>
        <rFont val="Segoe UI"/>
        <family val="2"/>
      </rPr>
      <t xml:space="preserve"> Impact of liquidation preferences and exercises on equity value</t>
    </r>
  </si>
  <si>
    <r>
      <rPr>
        <sz val="11.5"/>
        <color theme="1"/>
        <rFont val="Segoe UI"/>
        <family val="2"/>
      </rPr>
      <t>•</t>
    </r>
    <r>
      <rPr>
        <sz val="9"/>
        <color theme="1"/>
        <rFont val="Segoe UI"/>
        <family val="2"/>
      </rPr>
      <t xml:space="preserve"> Effects of stock, derivatives, and convertible debt on diluted share count</t>
    </r>
  </si>
  <si>
    <t>Cap</t>
  </si>
  <si>
    <t>post-IPO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</si>
</sst>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,##0;[Red]\-#,##0"/>
    <numFmt numFmtId="166" formatCode="#,##0;[Red]#,##0"/>
    <numFmt numFmtId="167" formatCode="#,##0.0\x;[Red]\-#,##0.0\x"/>
    <numFmt numFmtId="168" formatCode="&quot;$&quot;#,##0.00;[Red]&quot;$&quot;#,##0.00"/>
    <numFmt numFmtId="169" formatCode="#,##0.000;[Red]\-#,##0.000"/>
    <numFmt numFmtId="170" formatCode="\-#,##0;[Red]\-#,##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sz val="9"/>
      <color indexed="81"/>
      <name val="Calibri"/>
      <family val="2"/>
      <scheme val="minor"/>
    </font>
    <font>
      <sz val="11"/>
      <color theme="1"/>
      <name val="Calibri"/>
      <family val="2"/>
      <charset val="1"/>
    </font>
    <font>
      <i/>
      <sz val="8"/>
      <color rgb="FFC00000"/>
      <name val="Calibri"/>
      <family val="2"/>
      <scheme val="minor"/>
    </font>
    <font>
      <sz val="8.5"/>
      <name val="Segoe UI"/>
      <family val="2"/>
    </font>
    <font>
      <sz val="8.5"/>
      <color theme="1"/>
      <name val="Segoe UI"/>
      <family val="2"/>
    </font>
    <font>
      <sz val="8.5"/>
      <color theme="1"/>
      <name val="Calibri"/>
      <family val="2"/>
      <scheme val="minor"/>
    </font>
    <font>
      <sz val="8"/>
      <color theme="1"/>
      <name val="Segoe UI"/>
      <family val="2"/>
    </font>
    <font>
      <sz val="8.5"/>
      <name val="Segoe UI Semibold"/>
      <family val="2"/>
    </font>
    <font>
      <sz val="8.5"/>
      <color theme="1"/>
      <name val="Segoe UI Semibold"/>
      <family val="2"/>
    </font>
    <font>
      <u/>
      <sz val="8.5"/>
      <name val="Segoe UI"/>
      <family val="2"/>
    </font>
    <font>
      <sz val="9"/>
      <color theme="1"/>
      <name val="Segoe UI Semibold"/>
      <family val="2"/>
    </font>
    <font>
      <sz val="8"/>
      <color theme="1"/>
      <name val="Segoe UI Semibold"/>
      <family val="2"/>
    </font>
    <font>
      <sz val="8.5"/>
      <color theme="0"/>
      <name val="Segoe UI"/>
      <family val="2"/>
    </font>
    <font>
      <sz val="9.5"/>
      <color rgb="FFC00000"/>
      <name val="Calibri"/>
      <family val="2"/>
      <scheme val="minor"/>
    </font>
    <font>
      <sz val="8.5"/>
      <name val="Calibri"/>
      <family val="2"/>
      <scheme val="minor"/>
    </font>
    <font>
      <b/>
      <sz val="8"/>
      <name val="Calibri"/>
      <family val="2"/>
      <scheme val="minor"/>
    </font>
    <font>
      <sz val="14"/>
      <color theme="1"/>
      <name val="Segoe UI Variable Display"/>
    </font>
    <font>
      <sz val="8"/>
      <color theme="1"/>
      <name val="Segoe UI Variable Display"/>
    </font>
    <font>
      <sz val="9"/>
      <color theme="1"/>
      <name val="Segoe UI"/>
      <family val="2"/>
    </font>
    <font>
      <sz val="9.5"/>
      <color theme="1"/>
      <name val="Segoe UI Semibold"/>
      <family val="2"/>
    </font>
    <font>
      <sz val="9.5"/>
      <color theme="1"/>
      <name val="Segoe UI Variable Display Semib"/>
    </font>
    <font>
      <sz val="11"/>
      <color theme="1"/>
      <name val="Segoe UI Semibold"/>
      <family val="2"/>
    </font>
    <font>
      <sz val="8.5"/>
      <color rgb="FFFF0000"/>
      <name val="Segoe UI"/>
      <family val="2"/>
    </font>
    <font>
      <i/>
      <sz val="8"/>
      <color theme="0" tint="-0.499984740745262"/>
      <name val="Segoe UI"/>
      <family val="2"/>
    </font>
    <font>
      <sz val="8"/>
      <name val="Segoe UI Variable Display Semib"/>
    </font>
    <font>
      <sz val="9"/>
      <name val="Segoe UI Semibold"/>
      <family val="2"/>
    </font>
    <font>
      <u/>
      <sz val="9"/>
      <name val="Segoe UI"/>
      <family val="2"/>
    </font>
    <font>
      <sz val="10.5"/>
      <color theme="1"/>
      <name val="Segoe UI Semibold"/>
      <family val="2"/>
    </font>
    <font>
      <i/>
      <sz val="8"/>
      <color theme="0" tint="-0.499984740745262"/>
      <name val="Calibri"/>
      <family val="2"/>
      <scheme val="minor"/>
    </font>
    <font>
      <b/>
      <sz val="8.5"/>
      <color theme="1"/>
      <name val="Segoe UI"/>
      <family val="2"/>
    </font>
    <font>
      <b/>
      <sz val="8"/>
      <color theme="1"/>
      <name val="Segoe UI"/>
      <family val="2"/>
    </font>
    <font>
      <b/>
      <sz val="8.5"/>
      <name val="Segoe UI Semibold"/>
      <family val="2"/>
    </font>
    <font>
      <sz val="7"/>
      <name val="Segoe UI Semibold"/>
      <family val="2"/>
    </font>
    <font>
      <sz val="8.5"/>
      <color theme="0"/>
      <name val="Segoe UI Semibold"/>
      <family val="2"/>
    </font>
    <font>
      <sz val="10.5"/>
      <name val="Segoe UI Semibold"/>
      <family val="2"/>
    </font>
    <font>
      <sz val="6"/>
      <color theme="1"/>
      <name val="Segoe UI Semibold"/>
      <family val="2"/>
    </font>
    <font>
      <sz val="11.5"/>
      <color theme="1"/>
      <name val="Segoe UI"/>
      <family val="2"/>
    </font>
    <font>
      <sz val="9"/>
      <color theme="1"/>
      <name val="Calibri"/>
      <family val="2"/>
      <scheme val="minor"/>
    </font>
    <font>
      <sz val="8.5"/>
      <color theme="0" tint="-0.499984740745262"/>
      <name val="Segoe UI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0"/>
      <color rgb="FF0303FF"/>
      <name val="Segoe UI Semibold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/>
      <diagonal/>
    </border>
    <border>
      <left/>
      <right/>
      <top/>
      <bottom style="hair">
        <color theme="0" tint="-0.24994659260841701"/>
      </bottom>
      <diagonal/>
    </border>
    <border>
      <left style="hair">
        <color indexed="64"/>
      </left>
      <right style="hair">
        <color indexed="64"/>
      </right>
      <top style="hair">
        <color theme="0" tint="-0.24994659260841701"/>
      </top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auto="1"/>
      </top>
      <bottom style="hair">
        <color theme="0" tint="-0.2499465926084170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/>
      <top/>
      <bottom style="hair">
        <color theme="0" tint="-0.14996795556505021"/>
      </bottom>
      <diagonal/>
    </border>
    <border>
      <left style="hair">
        <color indexed="64"/>
      </left>
      <right style="hair">
        <color auto="1"/>
      </right>
      <top style="hair">
        <color theme="0" tint="-0.1499679555650502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64"/>
      </left>
      <right style="hair">
        <color indexed="64"/>
      </right>
      <top style="hair">
        <color theme="0" tint="-0.24994659260841701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theme="0" tint="-0.14993743705557422"/>
      </top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0" tint="-0.14996795556505021"/>
      </bottom>
      <diagonal/>
    </border>
    <border>
      <left style="hair">
        <color indexed="64"/>
      </left>
      <right style="hair">
        <color auto="1"/>
      </right>
      <top style="hair">
        <color theme="0" tint="-0.14996795556505021"/>
      </top>
      <bottom/>
      <diagonal/>
    </border>
    <border>
      <left style="hair">
        <color indexed="64"/>
      </left>
      <right style="hair">
        <color auto="1"/>
      </right>
      <top style="hair">
        <color theme="0" tint="-0.1499679555650502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theme="0" tint="-0.14996795556505021"/>
      </top>
      <bottom style="hair">
        <color theme="0" tint="-0.14996795556505021"/>
      </bottom>
      <diagonal/>
    </border>
  </borders>
  <cellStyleXfs count="17">
    <xf numFmtId="0" fontId="0" fillId="0" borderId="0"/>
    <xf numFmtId="9" fontId="1" fillId="0" borderId="0" applyFont="0" applyFill="0" applyBorder="0" applyAlignment="0" applyProtection="0"/>
    <xf numFmtId="0" fontId="2" fillId="2" borderId="1" applyNumberFormat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51" fillId="0" borderId="0" applyNumberFormat="0" applyFill="0" applyBorder="0" applyAlignment="0" applyProtection="0"/>
  </cellStyleXfs>
  <cellXfs count="255">
    <xf numFmtId="0" fontId="0" fillId="0" borderId="0" xfId="0"/>
    <xf numFmtId="0" fontId="3" fillId="3" borderId="0" xfId="0" applyFont="1" applyFill="1" applyProtection="1">
      <protection hidden="1"/>
    </xf>
    <xf numFmtId="0" fontId="4" fillId="3" borderId="0" xfId="8" applyFont="1" applyFill="1" applyProtection="1">
      <protection hidden="1"/>
    </xf>
    <xf numFmtId="165" fontId="9" fillId="3" borderId="0" xfId="3" applyNumberFormat="1" applyFont="1" applyFill="1" applyProtection="1">
      <protection hidden="1"/>
    </xf>
    <xf numFmtId="0" fontId="3" fillId="3" borderId="0" xfId="8" applyFont="1" applyFill="1" applyProtection="1">
      <protection hidden="1"/>
    </xf>
    <xf numFmtId="0" fontId="13" fillId="3" borderId="0" xfId="0" applyFont="1" applyFill="1" applyProtection="1">
      <protection hidden="1"/>
    </xf>
    <xf numFmtId="165" fontId="6" fillId="3" borderId="0" xfId="4" applyNumberFormat="1" applyFont="1" applyFill="1" applyProtection="1">
      <protection hidden="1"/>
    </xf>
    <xf numFmtId="0" fontId="4" fillId="3" borderId="0" xfId="8" applyFont="1" applyFill="1" applyAlignment="1" applyProtection="1">
      <alignment horizontal="left"/>
      <protection hidden="1"/>
    </xf>
    <xf numFmtId="165" fontId="9" fillId="3" borderId="0" xfId="4" applyNumberFormat="1" applyFont="1" applyFill="1" applyProtection="1">
      <protection hidden="1"/>
    </xf>
    <xf numFmtId="165" fontId="9" fillId="3" borderId="0" xfId="4" applyNumberFormat="1" applyFont="1" applyFill="1" applyAlignment="1" applyProtection="1">
      <alignment horizontal="right"/>
      <protection hidden="1"/>
    </xf>
    <xf numFmtId="165" fontId="6" fillId="3" borderId="0" xfId="4" applyNumberFormat="1" applyFont="1" applyFill="1" applyAlignment="1" applyProtection="1">
      <alignment horizontal="right"/>
      <protection hidden="1"/>
    </xf>
    <xf numFmtId="0" fontId="3" fillId="3" borderId="0" xfId="0" applyFont="1" applyFill="1" applyAlignment="1" applyProtection="1">
      <alignment horizontal="center"/>
      <protection hidden="1"/>
    </xf>
    <xf numFmtId="165" fontId="14" fillId="3" borderId="0" xfId="0" applyNumberFormat="1" applyFont="1" applyFill="1" applyAlignment="1" applyProtection="1">
      <alignment horizontal="center" vertical="center"/>
      <protection hidden="1"/>
    </xf>
    <xf numFmtId="0" fontId="4" fillId="3" borderId="0" xfId="10" applyFont="1" applyFill="1" applyProtection="1">
      <protection hidden="1"/>
    </xf>
    <xf numFmtId="0" fontId="24" fillId="3" borderId="0" xfId="0" applyFont="1" applyFill="1" applyProtection="1">
      <protection hidden="1"/>
    </xf>
    <xf numFmtId="0" fontId="4" fillId="3" borderId="0" xfId="8" applyFont="1" applyFill="1" applyAlignment="1" applyProtection="1">
      <alignment vertical="center"/>
      <protection hidden="1"/>
    </xf>
    <xf numFmtId="0" fontId="18" fillId="3" borderId="0" xfId="8" applyFont="1" applyFill="1" applyAlignment="1" applyProtection="1">
      <alignment horizontal="center" vertical="center"/>
      <protection hidden="1"/>
    </xf>
    <xf numFmtId="0" fontId="16" fillId="3" borderId="0" xfId="8" applyFont="1" applyFill="1" applyAlignment="1" applyProtection="1">
      <alignment vertical="center"/>
      <protection hidden="1"/>
    </xf>
    <xf numFmtId="0" fontId="27" fillId="3" borderId="0" xfId="0" applyFont="1" applyFill="1" applyAlignment="1" applyProtection="1">
      <alignment horizontal="left"/>
      <protection hidden="1"/>
    </xf>
    <xf numFmtId="0" fontId="28" fillId="3" borderId="0" xfId="0" applyFont="1" applyFill="1" applyAlignment="1" applyProtection="1">
      <alignment horizontal="left"/>
      <protection hidden="1"/>
    </xf>
    <xf numFmtId="165" fontId="9" fillId="3" borderId="0" xfId="3" applyNumberFormat="1" applyFont="1" applyFill="1" applyAlignment="1" applyProtection="1">
      <alignment horizontal="center"/>
      <protection hidden="1"/>
    </xf>
    <xf numFmtId="165" fontId="9" fillId="3" borderId="0" xfId="3" applyNumberFormat="1" applyFont="1" applyFill="1" applyAlignment="1" applyProtection="1">
      <alignment horizontal="left"/>
      <protection hidden="1"/>
    </xf>
    <xf numFmtId="0" fontId="15" fillId="3" borderId="0" xfId="8" applyFont="1" applyFill="1" applyAlignment="1" applyProtection="1">
      <alignment vertical="center"/>
      <protection hidden="1"/>
    </xf>
    <xf numFmtId="0" fontId="17" fillId="3" borderId="0" xfId="8" applyFont="1" applyFill="1" applyAlignment="1" applyProtection="1">
      <alignment vertical="center"/>
      <protection hidden="1"/>
    </xf>
    <xf numFmtId="165" fontId="9" fillId="3" borderId="0" xfId="4" applyNumberFormat="1" applyFont="1" applyFill="1" applyAlignment="1" applyProtection="1">
      <alignment vertical="center"/>
      <protection hidden="1"/>
    </xf>
    <xf numFmtId="0" fontId="19" fillId="3" borderId="0" xfId="8" applyFont="1" applyFill="1" applyAlignment="1" applyProtection="1">
      <alignment vertical="center"/>
      <protection hidden="1"/>
    </xf>
    <xf numFmtId="0" fontId="14" fillId="3" borderId="0" xfId="8" applyFont="1" applyFill="1" applyAlignment="1" applyProtection="1">
      <alignment vertical="center"/>
      <protection hidden="1"/>
    </xf>
    <xf numFmtId="0" fontId="15" fillId="3" borderId="0" xfId="0" applyFont="1" applyFill="1" applyAlignment="1" applyProtection="1">
      <alignment vertical="center"/>
      <protection hidden="1"/>
    </xf>
    <xf numFmtId="165" fontId="10" fillId="3" borderId="0" xfId="4" applyNumberFormat="1" applyFont="1" applyFill="1" applyAlignment="1" applyProtection="1">
      <alignment vertical="center"/>
      <protection hidden="1"/>
    </xf>
    <xf numFmtId="165" fontId="26" fillId="3" borderId="0" xfId="4" applyNumberFormat="1" applyFont="1" applyFill="1" applyAlignment="1" applyProtection="1">
      <alignment vertical="center"/>
      <protection hidden="1"/>
    </xf>
    <xf numFmtId="165" fontId="18" fillId="3" borderId="0" xfId="4" applyNumberFormat="1" applyFont="1" applyFill="1" applyAlignment="1" applyProtection="1">
      <alignment horizontal="center"/>
      <protection hidden="1"/>
    </xf>
    <xf numFmtId="165" fontId="19" fillId="3" borderId="0" xfId="8" applyNumberFormat="1" applyFont="1" applyFill="1" applyAlignment="1" applyProtection="1">
      <alignment horizontal="center" vertical="center"/>
      <protection hidden="1"/>
    </xf>
    <xf numFmtId="165" fontId="14" fillId="3" borderId="0" xfId="4" applyNumberFormat="1" applyFont="1" applyFill="1" applyAlignment="1" applyProtection="1">
      <alignment horizontal="center" vertical="center"/>
      <protection hidden="1"/>
    </xf>
    <xf numFmtId="165" fontId="14" fillId="3" borderId="0" xfId="4" applyNumberFormat="1" applyFont="1" applyFill="1" applyAlignment="1" applyProtection="1">
      <alignment vertical="center"/>
      <protection hidden="1"/>
    </xf>
    <xf numFmtId="165" fontId="18" fillId="3" borderId="0" xfId="4" applyNumberFormat="1" applyFont="1" applyFill="1" applyAlignment="1" applyProtection="1">
      <alignment vertical="center"/>
      <protection hidden="1"/>
    </xf>
    <xf numFmtId="165" fontId="18" fillId="3" borderId="0" xfId="4" applyNumberFormat="1" applyFont="1" applyFill="1" applyAlignment="1" applyProtection="1">
      <alignment horizontal="center" vertical="center"/>
      <protection hidden="1"/>
    </xf>
    <xf numFmtId="165" fontId="6" fillId="3" borderId="0" xfId="4" applyNumberFormat="1" applyFont="1" applyFill="1" applyAlignment="1" applyProtection="1">
      <alignment vertical="center"/>
      <protection hidden="1"/>
    </xf>
    <xf numFmtId="0" fontId="4" fillId="3" borderId="0" xfId="8" applyFont="1" applyFill="1" applyAlignment="1" applyProtection="1">
      <alignment horizontal="center"/>
      <protection hidden="1"/>
    </xf>
    <xf numFmtId="166" fontId="14" fillId="3" borderId="0" xfId="10" applyNumberFormat="1" applyFont="1" applyFill="1" applyAlignment="1" applyProtection="1">
      <alignment vertical="center"/>
      <protection hidden="1"/>
    </xf>
    <xf numFmtId="165" fontId="9" fillId="3" borderId="0" xfId="4" applyNumberFormat="1" applyFont="1" applyFill="1" applyAlignment="1" applyProtection="1">
      <alignment horizontal="right" vertical="center"/>
      <protection hidden="1"/>
    </xf>
    <xf numFmtId="165" fontId="14" fillId="3" borderId="2" xfId="4" applyNumberFormat="1" applyFont="1" applyFill="1" applyBorder="1" applyAlignment="1" applyProtection="1">
      <alignment horizontal="center" vertical="center"/>
      <protection hidden="1"/>
    </xf>
    <xf numFmtId="165" fontId="14" fillId="3" borderId="0" xfId="10" applyNumberFormat="1" applyFont="1" applyFill="1" applyAlignment="1" applyProtection="1">
      <alignment horizontal="center" vertical="center"/>
      <protection hidden="1"/>
    </xf>
    <xf numFmtId="165" fontId="35" fillId="3" borderId="0" xfId="4" applyNumberFormat="1" applyFont="1" applyFill="1" applyAlignment="1" applyProtection="1">
      <alignment vertical="center"/>
      <protection hidden="1"/>
    </xf>
    <xf numFmtId="0" fontId="15" fillId="3" borderId="2" xfId="0" applyFont="1" applyFill="1" applyBorder="1" applyAlignment="1" applyProtection="1">
      <alignment vertical="center"/>
      <protection hidden="1"/>
    </xf>
    <xf numFmtId="0" fontId="3" fillId="3" borderId="0" xfId="8" applyFont="1" applyFill="1" applyAlignment="1" applyProtection="1">
      <alignment horizontal="center"/>
      <protection hidden="1"/>
    </xf>
    <xf numFmtId="165" fontId="15" fillId="3" borderId="0" xfId="8" applyNumberFormat="1" applyFont="1" applyFill="1" applyAlignment="1" applyProtection="1">
      <alignment horizontal="center" vertical="center"/>
      <protection hidden="1"/>
    </xf>
    <xf numFmtId="165" fontId="25" fillId="3" borderId="0" xfId="4" applyNumberFormat="1" applyFont="1" applyFill="1" applyAlignment="1" applyProtection="1">
      <alignment horizontal="center" vertical="center"/>
      <protection hidden="1"/>
    </xf>
    <xf numFmtId="165" fontId="14" fillId="3" borderId="0" xfId="4" applyNumberFormat="1" applyFont="1" applyFill="1" applyAlignment="1" applyProtection="1">
      <alignment horizontal="left" vertical="center"/>
      <protection hidden="1"/>
    </xf>
    <xf numFmtId="165" fontId="9" fillId="3" borderId="0" xfId="4" applyNumberFormat="1" applyFont="1" applyFill="1" applyAlignment="1" applyProtection="1">
      <alignment horizontal="center" vertical="center"/>
      <protection hidden="1"/>
    </xf>
    <xf numFmtId="165" fontId="14" fillId="3" borderId="2" xfId="10" applyNumberFormat="1" applyFont="1" applyFill="1" applyBorder="1" applyAlignment="1" applyProtection="1">
      <alignment horizontal="center" vertical="center"/>
      <protection hidden="1"/>
    </xf>
    <xf numFmtId="165" fontId="25" fillId="3" borderId="0" xfId="4" applyNumberFormat="1" applyFont="1" applyFill="1" applyAlignment="1" applyProtection="1">
      <alignment horizontal="left" vertical="center"/>
      <protection hidden="1"/>
    </xf>
    <xf numFmtId="165" fontId="14" fillId="3" borderId="0" xfId="1" applyNumberFormat="1" applyFont="1" applyFill="1" applyBorder="1" applyAlignment="1" applyProtection="1">
      <alignment horizontal="center"/>
      <protection hidden="1"/>
    </xf>
    <xf numFmtId="0" fontId="14" fillId="3" borderId="0" xfId="8" applyFont="1" applyFill="1" applyAlignment="1" applyProtection="1">
      <alignment horizontal="center"/>
      <protection hidden="1"/>
    </xf>
    <xf numFmtId="9" fontId="14" fillId="3" borderId="0" xfId="1" applyFont="1" applyFill="1" applyBorder="1" applyAlignment="1" applyProtection="1">
      <alignment horizontal="center"/>
      <protection hidden="1"/>
    </xf>
    <xf numFmtId="165" fontId="14" fillId="3" borderId="6" xfId="1" applyNumberFormat="1" applyFont="1" applyFill="1" applyBorder="1" applyAlignment="1" applyProtection="1">
      <alignment horizontal="center"/>
      <protection hidden="1"/>
    </xf>
    <xf numFmtId="9" fontId="14" fillId="3" borderId="6" xfId="1" applyFont="1" applyFill="1" applyBorder="1" applyAlignment="1" applyProtection="1">
      <alignment horizontal="center"/>
      <protection hidden="1"/>
    </xf>
    <xf numFmtId="165" fontId="14" fillId="5" borderId="0" xfId="1" applyNumberFormat="1" applyFont="1" applyFill="1" applyBorder="1" applyAlignment="1" applyProtection="1">
      <alignment horizontal="center"/>
      <protection hidden="1"/>
    </xf>
    <xf numFmtId="9" fontId="14" fillId="5" borderId="0" xfId="1" applyFont="1" applyFill="1" applyBorder="1" applyAlignment="1" applyProtection="1">
      <alignment horizontal="center"/>
      <protection hidden="1"/>
    </xf>
    <xf numFmtId="165" fontId="14" fillId="5" borderId="6" xfId="1" applyNumberFormat="1" applyFont="1" applyFill="1" applyBorder="1" applyAlignment="1" applyProtection="1">
      <alignment horizontal="center"/>
      <protection hidden="1"/>
    </xf>
    <xf numFmtId="0" fontId="15" fillId="3" borderId="0" xfId="0" applyFont="1" applyFill="1" applyAlignment="1" applyProtection="1">
      <alignment horizontal="center"/>
      <protection hidden="1"/>
    </xf>
    <xf numFmtId="9" fontId="14" fillId="5" borderId="6" xfId="1" applyFont="1" applyFill="1" applyBorder="1" applyAlignment="1" applyProtection="1">
      <alignment horizontal="center"/>
      <protection hidden="1"/>
    </xf>
    <xf numFmtId="165" fontId="14" fillId="3" borderId="14" xfId="1" applyNumberFormat="1" applyFont="1" applyFill="1" applyBorder="1" applyAlignment="1" applyProtection="1">
      <alignment horizontal="center"/>
      <protection hidden="1"/>
    </xf>
    <xf numFmtId="9" fontId="14" fillId="3" borderId="14" xfId="1" applyFont="1" applyFill="1" applyBorder="1" applyAlignment="1" applyProtection="1">
      <alignment horizontal="center"/>
      <protection hidden="1"/>
    </xf>
    <xf numFmtId="165" fontId="14" fillId="5" borderId="2" xfId="1" applyNumberFormat="1" applyFont="1" applyFill="1" applyBorder="1" applyAlignment="1" applyProtection="1">
      <alignment horizontal="center"/>
      <protection hidden="1"/>
    </xf>
    <xf numFmtId="165" fontId="14" fillId="3" borderId="2" xfId="1" applyNumberFormat="1" applyFont="1" applyFill="1" applyBorder="1" applyAlignment="1" applyProtection="1">
      <alignment horizontal="center"/>
      <protection hidden="1"/>
    </xf>
    <xf numFmtId="9" fontId="14" fillId="5" borderId="2" xfId="1" applyFont="1" applyFill="1" applyBorder="1" applyAlignment="1" applyProtection="1">
      <alignment horizontal="center"/>
      <protection hidden="1"/>
    </xf>
    <xf numFmtId="9" fontId="14" fillId="3" borderId="2" xfId="1" applyFont="1" applyFill="1" applyBorder="1" applyAlignment="1" applyProtection="1">
      <alignment horizontal="center"/>
      <protection hidden="1"/>
    </xf>
    <xf numFmtId="165" fontId="18" fillId="3" borderId="0" xfId="1" applyNumberFormat="1" applyFont="1" applyFill="1" applyBorder="1" applyAlignment="1" applyProtection="1">
      <alignment horizontal="center"/>
      <protection hidden="1"/>
    </xf>
    <xf numFmtId="0" fontId="18" fillId="3" borderId="0" xfId="8" applyFont="1" applyFill="1" applyAlignment="1" applyProtection="1">
      <alignment horizontal="center"/>
      <protection hidden="1"/>
    </xf>
    <xf numFmtId="0" fontId="15" fillId="3" borderId="0" xfId="8" applyFont="1" applyFill="1" applyAlignment="1" applyProtection="1">
      <alignment horizontal="left"/>
      <protection hidden="1"/>
    </xf>
    <xf numFmtId="165" fontId="34" fillId="3" borderId="0" xfId="8" applyNumberFormat="1" applyFont="1" applyFill="1" applyAlignment="1" applyProtection="1">
      <alignment horizontal="center"/>
      <protection hidden="1"/>
    </xf>
    <xf numFmtId="0" fontId="16" fillId="3" borderId="0" xfId="8" applyFont="1" applyFill="1" applyAlignment="1" applyProtection="1">
      <alignment horizontal="center"/>
      <protection hidden="1"/>
    </xf>
    <xf numFmtId="9" fontId="34" fillId="3" borderId="0" xfId="1" applyFont="1" applyFill="1" applyAlignment="1" applyProtection="1">
      <alignment horizontal="center"/>
      <protection hidden="1"/>
    </xf>
    <xf numFmtId="0" fontId="20" fillId="3" borderId="0" xfId="8" applyFont="1" applyFill="1" applyAlignment="1" applyProtection="1">
      <alignment horizontal="left"/>
      <protection hidden="1"/>
    </xf>
    <xf numFmtId="165" fontId="34" fillId="3" borderId="2" xfId="8" applyNumberFormat="1" applyFont="1" applyFill="1" applyBorder="1" applyAlignment="1" applyProtection="1">
      <alignment horizontal="center"/>
      <protection hidden="1"/>
    </xf>
    <xf numFmtId="0" fontId="20" fillId="3" borderId="0" xfId="8" applyFont="1" applyFill="1" applyAlignment="1" applyProtection="1">
      <alignment horizontal="center"/>
      <protection hidden="1"/>
    </xf>
    <xf numFmtId="9" fontId="34" fillId="3" borderId="2" xfId="1" applyFont="1" applyFill="1" applyBorder="1" applyAlignment="1" applyProtection="1">
      <alignment horizontal="center"/>
      <protection hidden="1"/>
    </xf>
    <xf numFmtId="165" fontId="34" fillId="5" borderId="0" xfId="8" applyNumberFormat="1" applyFont="1" applyFill="1" applyAlignment="1" applyProtection="1">
      <alignment horizontal="center"/>
      <protection hidden="1"/>
    </xf>
    <xf numFmtId="165" fontId="34" fillId="5" borderId="3" xfId="8" applyNumberFormat="1" applyFont="1" applyFill="1" applyBorder="1" applyAlignment="1" applyProtection="1">
      <alignment horizontal="center"/>
      <protection hidden="1"/>
    </xf>
    <xf numFmtId="165" fontId="14" fillId="3" borderId="3" xfId="1" applyNumberFormat="1" applyFont="1" applyFill="1" applyBorder="1" applyAlignment="1" applyProtection="1">
      <alignment horizontal="center"/>
      <protection hidden="1"/>
    </xf>
    <xf numFmtId="165" fontId="18" fillId="3" borderId="0" xfId="4" applyNumberFormat="1" applyFont="1" applyFill="1" applyAlignment="1" applyProtection="1">
      <alignment horizontal="left"/>
      <protection hidden="1"/>
    </xf>
    <xf numFmtId="0" fontId="16" fillId="3" borderId="0" xfId="8" applyFont="1" applyFill="1" applyProtection="1">
      <protection hidden="1"/>
    </xf>
    <xf numFmtId="0" fontId="14" fillId="3" borderId="2" xfId="8" applyFont="1" applyFill="1" applyBorder="1" applyAlignment="1" applyProtection="1">
      <alignment vertical="center"/>
      <protection hidden="1"/>
    </xf>
    <xf numFmtId="0" fontId="18" fillId="3" borderId="0" xfId="8" applyFont="1" applyFill="1" applyProtection="1">
      <protection hidden="1"/>
    </xf>
    <xf numFmtId="0" fontId="19" fillId="3" borderId="0" xfId="8" applyFont="1" applyFill="1" applyProtection="1">
      <protection hidden="1"/>
    </xf>
    <xf numFmtId="0" fontId="19" fillId="3" borderId="0" xfId="8" applyFont="1" applyFill="1" applyAlignment="1" applyProtection="1">
      <alignment horizontal="center"/>
      <protection hidden="1"/>
    </xf>
    <xf numFmtId="0" fontId="4" fillId="3" borderId="0" xfId="8" applyFont="1" applyFill="1" applyAlignment="1" applyProtection="1">
      <alignment vertical="top"/>
      <protection hidden="1"/>
    </xf>
    <xf numFmtId="0" fontId="15" fillId="3" borderId="3" xfId="8" applyFont="1" applyFill="1" applyBorder="1" applyProtection="1">
      <protection hidden="1"/>
    </xf>
    <xf numFmtId="0" fontId="14" fillId="3" borderId="0" xfId="8" applyFont="1" applyFill="1" applyProtection="1">
      <protection hidden="1"/>
    </xf>
    <xf numFmtId="0" fontId="15" fillId="3" borderId="0" xfId="0" applyFont="1" applyFill="1" applyProtection="1">
      <protection hidden="1"/>
    </xf>
    <xf numFmtId="0" fontId="15" fillId="3" borderId="2" xfId="8" applyFont="1" applyFill="1" applyBorder="1" applyProtection="1">
      <protection hidden="1"/>
    </xf>
    <xf numFmtId="0" fontId="15" fillId="3" borderId="0" xfId="8" applyFont="1" applyFill="1" applyProtection="1">
      <protection hidden="1"/>
    </xf>
    <xf numFmtId="165" fontId="18" fillId="3" borderId="0" xfId="8" applyNumberFormat="1" applyFont="1" applyFill="1" applyAlignment="1" applyProtection="1">
      <alignment horizontal="center"/>
      <protection hidden="1"/>
    </xf>
    <xf numFmtId="0" fontId="18" fillId="3" borderId="0" xfId="0" applyFont="1" applyFill="1" applyProtection="1">
      <protection hidden="1"/>
    </xf>
    <xf numFmtId="165" fontId="14" fillId="3" borderId="0" xfId="0" applyNumberFormat="1" applyFont="1" applyFill="1" applyAlignment="1" applyProtection="1">
      <alignment horizontal="center"/>
      <protection hidden="1"/>
    </xf>
    <xf numFmtId="165" fontId="15" fillId="3" borderId="0" xfId="8" applyNumberFormat="1" applyFont="1" applyFill="1" applyProtection="1">
      <protection hidden="1"/>
    </xf>
    <xf numFmtId="0" fontId="16" fillId="3" borderId="0" xfId="0" applyFont="1" applyFill="1" applyProtection="1">
      <protection hidden="1"/>
    </xf>
    <xf numFmtId="0" fontId="15" fillId="3" borderId="0" xfId="8" applyFont="1" applyFill="1" applyAlignment="1" applyProtection="1">
      <alignment horizontal="center"/>
      <protection hidden="1"/>
    </xf>
    <xf numFmtId="0" fontId="23" fillId="3" borderId="0" xfId="8" applyFont="1" applyFill="1" applyAlignment="1" applyProtection="1">
      <alignment horizontal="right"/>
      <protection hidden="1"/>
    </xf>
    <xf numFmtId="0" fontId="14" fillId="3" borderId="0" xfId="0" applyFont="1" applyFill="1" applyAlignment="1" applyProtection="1">
      <alignment horizontal="left"/>
      <protection hidden="1"/>
    </xf>
    <xf numFmtId="0" fontId="17" fillId="3" borderId="0" xfId="8" applyFont="1" applyFill="1" applyProtection="1">
      <protection hidden="1"/>
    </xf>
    <xf numFmtId="165" fontId="39" fillId="3" borderId="0" xfId="8" applyNumberFormat="1" applyFont="1" applyFill="1" applyAlignment="1" applyProtection="1">
      <alignment horizontal="center"/>
      <protection hidden="1"/>
    </xf>
    <xf numFmtId="165" fontId="16" fillId="3" borderId="0" xfId="8" applyNumberFormat="1" applyFont="1" applyFill="1" applyProtection="1">
      <protection hidden="1"/>
    </xf>
    <xf numFmtId="169" fontId="19" fillId="3" borderId="0" xfId="8" applyNumberFormat="1" applyFont="1" applyFill="1" applyAlignment="1" applyProtection="1">
      <alignment horizontal="center"/>
      <protection hidden="1"/>
    </xf>
    <xf numFmtId="0" fontId="40" fillId="3" borderId="0" xfId="8" applyFont="1" applyFill="1" applyAlignment="1" applyProtection="1">
      <alignment horizontal="center" vertical="center"/>
      <protection hidden="1"/>
    </xf>
    <xf numFmtId="0" fontId="44" fillId="3" borderId="0" xfId="8" applyFont="1" applyFill="1" applyAlignment="1" applyProtection="1">
      <alignment horizontal="right"/>
      <protection hidden="1"/>
    </xf>
    <xf numFmtId="165" fontId="42" fillId="3" borderId="0" xfId="8" applyNumberFormat="1" applyFont="1" applyFill="1" applyAlignment="1" applyProtection="1">
      <alignment horizontal="center"/>
      <protection hidden="1"/>
    </xf>
    <xf numFmtId="165" fontId="9" fillId="3" borderId="0" xfId="4" applyNumberFormat="1" applyFont="1" applyFill="1" applyAlignment="1" applyProtection="1">
      <alignment vertical="top"/>
      <protection hidden="1"/>
    </xf>
    <xf numFmtId="168" fontId="14" fillId="3" borderId="0" xfId="4" applyNumberFormat="1" applyFont="1" applyFill="1" applyAlignment="1" applyProtection="1">
      <alignment horizontal="center"/>
      <protection hidden="1"/>
    </xf>
    <xf numFmtId="165" fontId="14" fillId="3" borderId="0" xfId="4" applyNumberFormat="1" applyFont="1" applyFill="1" applyAlignment="1" applyProtection="1">
      <alignment horizontal="center"/>
      <protection hidden="1"/>
    </xf>
    <xf numFmtId="165" fontId="25" fillId="3" borderId="0" xfId="4" applyNumberFormat="1" applyFont="1" applyFill="1" applyAlignment="1" applyProtection="1">
      <alignment horizontal="center"/>
      <protection hidden="1"/>
    </xf>
    <xf numFmtId="165" fontId="14" fillId="3" borderId="2" xfId="4" applyNumberFormat="1" applyFont="1" applyFill="1" applyBorder="1" applyAlignment="1" applyProtection="1">
      <alignment horizontal="center"/>
      <protection hidden="1"/>
    </xf>
    <xf numFmtId="0" fontId="18" fillId="3" borderId="6" xfId="8" applyFont="1" applyFill="1" applyBorder="1" applyProtection="1">
      <protection hidden="1"/>
    </xf>
    <xf numFmtId="0" fontId="17" fillId="3" borderId="0" xfId="8" applyFont="1" applyFill="1" applyAlignment="1" applyProtection="1">
      <alignment vertical="top"/>
      <protection hidden="1"/>
    </xf>
    <xf numFmtId="0" fontId="18" fillId="3" borderId="0" xfId="8" applyFont="1" applyFill="1" applyAlignment="1" applyProtection="1">
      <alignment horizontal="center" vertical="top"/>
      <protection hidden="1"/>
    </xf>
    <xf numFmtId="0" fontId="41" fillId="3" borderId="0" xfId="8" applyFont="1" applyFill="1" applyAlignment="1" applyProtection="1">
      <alignment horizontal="center" vertical="top"/>
      <protection hidden="1"/>
    </xf>
    <xf numFmtId="0" fontId="4" fillId="3" borderId="0" xfId="8" applyFont="1" applyFill="1" applyAlignment="1" applyProtection="1">
      <alignment horizontal="center" vertical="top"/>
      <protection hidden="1"/>
    </xf>
    <xf numFmtId="0" fontId="22" fillId="3" borderId="0" xfId="8" applyFont="1" applyFill="1" applyAlignment="1" applyProtection="1">
      <alignment horizontal="center" vertical="top"/>
      <protection hidden="1"/>
    </xf>
    <xf numFmtId="165" fontId="18" fillId="3" borderId="0" xfId="4" applyNumberFormat="1" applyFont="1" applyFill="1" applyProtection="1">
      <protection hidden="1"/>
    </xf>
    <xf numFmtId="0" fontId="21" fillId="3" borderId="0" xfId="8" applyFont="1" applyFill="1" applyAlignment="1" applyProtection="1">
      <alignment horizontal="left"/>
      <protection hidden="1"/>
    </xf>
    <xf numFmtId="0" fontId="18" fillId="3" borderId="0" xfId="8" applyFont="1" applyFill="1" applyAlignment="1" applyProtection="1">
      <alignment horizontal="left"/>
      <protection hidden="1"/>
    </xf>
    <xf numFmtId="0" fontId="32" fillId="3" borderId="0" xfId="8" applyFont="1" applyFill="1" applyAlignment="1" applyProtection="1">
      <alignment horizontal="left"/>
      <protection hidden="1"/>
    </xf>
    <xf numFmtId="165" fontId="15" fillId="3" borderId="14" xfId="8" applyNumberFormat="1" applyFont="1" applyFill="1" applyBorder="1" applyAlignment="1" applyProtection="1">
      <alignment horizontal="center" vertical="center"/>
      <protection hidden="1"/>
    </xf>
    <xf numFmtId="9" fontId="15" fillId="3" borderId="0" xfId="1" applyFont="1" applyFill="1" applyBorder="1" applyAlignment="1" applyProtection="1">
      <alignment horizontal="center" vertical="center"/>
      <protection hidden="1"/>
    </xf>
    <xf numFmtId="165" fontId="14" fillId="3" borderId="0" xfId="8" applyNumberFormat="1" applyFont="1" applyFill="1" applyAlignment="1" applyProtection="1">
      <alignment horizontal="center" vertical="center"/>
      <protection hidden="1"/>
    </xf>
    <xf numFmtId="164" fontId="15" fillId="3" borderId="2" xfId="1" applyNumberFormat="1" applyFont="1" applyFill="1" applyBorder="1" applyAlignment="1" applyProtection="1">
      <alignment horizontal="center" vertical="center"/>
      <protection hidden="1"/>
    </xf>
    <xf numFmtId="165" fontId="15" fillId="3" borderId="0" xfId="0" applyNumberFormat="1" applyFont="1" applyFill="1" applyAlignment="1" applyProtection="1">
      <alignment horizontal="center" vertical="center"/>
      <protection hidden="1"/>
    </xf>
    <xf numFmtId="165" fontId="14" fillId="3" borderId="19" xfId="0" applyNumberFormat="1" applyFont="1" applyFill="1" applyBorder="1" applyAlignment="1" applyProtection="1">
      <alignment horizontal="center" vertical="center"/>
      <protection hidden="1"/>
    </xf>
    <xf numFmtId="165" fontId="15" fillId="3" borderId="2" xfId="0" applyNumberFormat="1" applyFont="1" applyFill="1" applyBorder="1" applyAlignment="1" applyProtection="1">
      <alignment horizontal="center" vertical="center"/>
      <protection hidden="1"/>
    </xf>
    <xf numFmtId="9" fontId="15" fillId="3" borderId="19" xfId="1" applyFont="1" applyFill="1" applyBorder="1" applyAlignment="1" applyProtection="1">
      <alignment horizontal="center" vertical="center"/>
      <protection hidden="1"/>
    </xf>
    <xf numFmtId="165" fontId="15" fillId="3" borderId="21" xfId="8" applyNumberFormat="1" applyFont="1" applyFill="1" applyBorder="1" applyAlignment="1" applyProtection="1">
      <alignment horizontal="center" vertical="center"/>
      <protection hidden="1"/>
    </xf>
    <xf numFmtId="0" fontId="14" fillId="3" borderId="0" xfId="8" applyFont="1" applyFill="1" applyAlignment="1" applyProtection="1">
      <alignment horizontal="center" vertical="center"/>
      <protection hidden="1"/>
    </xf>
    <xf numFmtId="165" fontId="14" fillId="3" borderId="20" xfId="0" applyNumberFormat="1" applyFont="1" applyFill="1" applyBorder="1" applyAlignment="1" applyProtection="1">
      <alignment horizontal="center" vertical="center"/>
      <protection hidden="1"/>
    </xf>
    <xf numFmtId="165" fontId="14" fillId="3" borderId="2" xfId="0" applyNumberFormat="1" applyFont="1" applyFill="1" applyBorder="1" applyAlignment="1" applyProtection="1">
      <alignment horizontal="center" vertical="center"/>
      <protection hidden="1"/>
    </xf>
    <xf numFmtId="165" fontId="15" fillId="3" borderId="2" xfId="8" applyNumberFormat="1" applyFont="1" applyFill="1" applyBorder="1" applyAlignment="1" applyProtection="1">
      <alignment horizontal="center" vertical="center"/>
      <protection hidden="1"/>
    </xf>
    <xf numFmtId="165" fontId="18" fillId="3" borderId="0" xfId="0" applyNumberFormat="1" applyFont="1" applyFill="1" applyAlignment="1" applyProtection="1">
      <alignment horizontal="center" vertical="center"/>
      <protection hidden="1"/>
    </xf>
    <xf numFmtId="164" fontId="42" fillId="3" borderId="0" xfId="0" applyNumberFormat="1" applyFont="1" applyFill="1" applyAlignment="1" applyProtection="1">
      <alignment horizontal="center" vertical="center"/>
      <protection hidden="1"/>
    </xf>
    <xf numFmtId="0" fontId="27" fillId="3" borderId="0" xfId="0" applyFont="1" applyFill="1" applyProtection="1">
      <protection hidden="1"/>
    </xf>
    <xf numFmtId="167" fontId="14" fillId="3" borderId="0" xfId="2" applyNumberFormat="1" applyFont="1" applyFill="1" applyBorder="1" applyAlignment="1" applyProtection="1">
      <alignment horizontal="center"/>
      <protection hidden="1"/>
    </xf>
    <xf numFmtId="165" fontId="14" fillId="3" borderId="0" xfId="2" applyNumberFormat="1" applyFont="1" applyFill="1" applyBorder="1" applyAlignment="1" applyProtection="1">
      <alignment horizontal="center" vertical="center"/>
      <protection hidden="1"/>
    </xf>
    <xf numFmtId="165" fontId="14" fillId="3" borderId="2" xfId="2" applyNumberFormat="1" applyFont="1" applyFill="1" applyBorder="1" applyAlignment="1" applyProtection="1">
      <alignment horizontal="center" vertical="center"/>
      <protection hidden="1"/>
    </xf>
    <xf numFmtId="0" fontId="15" fillId="3" borderId="0" xfId="8" applyFont="1" applyFill="1" applyAlignment="1" applyProtection="1">
      <alignment vertical="center"/>
      <protection locked="0" hidden="1"/>
    </xf>
    <xf numFmtId="0" fontId="18" fillId="3" borderId="0" xfId="8" applyFont="1" applyFill="1" applyAlignment="1" applyProtection="1">
      <alignment vertical="center"/>
      <protection hidden="1"/>
    </xf>
    <xf numFmtId="0" fontId="19" fillId="3" borderId="0" xfId="8" applyFont="1" applyFill="1" applyAlignment="1" applyProtection="1">
      <alignment horizontal="center" vertical="center"/>
      <protection hidden="1"/>
    </xf>
    <xf numFmtId="165" fontId="15" fillId="3" borderId="0" xfId="8" applyNumberFormat="1" applyFont="1" applyFill="1" applyAlignment="1" applyProtection="1">
      <alignment horizontal="center"/>
      <protection hidden="1"/>
    </xf>
    <xf numFmtId="0" fontId="21" fillId="3" borderId="0" xfId="8" applyFont="1" applyFill="1" applyAlignment="1" applyProtection="1">
      <alignment horizontal="left" vertical="center"/>
      <protection hidden="1"/>
    </xf>
    <xf numFmtId="165" fontId="14" fillId="3" borderId="26" xfId="4" applyNumberFormat="1" applyFont="1" applyFill="1" applyBorder="1" applyAlignment="1" applyProtection="1">
      <alignment horizontal="center"/>
      <protection hidden="1"/>
    </xf>
    <xf numFmtId="165" fontId="14" fillId="0" borderId="0" xfId="4" applyNumberFormat="1" applyFont="1" applyProtection="1">
      <protection hidden="1"/>
    </xf>
    <xf numFmtId="165" fontId="14" fillId="0" borderId="0" xfId="4" applyNumberFormat="1" applyFont="1" applyAlignment="1" applyProtection="1">
      <alignment horizontal="left"/>
      <protection hidden="1"/>
    </xf>
    <xf numFmtId="165" fontId="14" fillId="3" borderId="0" xfId="10" applyNumberFormat="1" applyFont="1" applyFill="1" applyAlignment="1" applyProtection="1">
      <alignment horizontal="center"/>
      <protection hidden="1"/>
    </xf>
    <xf numFmtId="165" fontId="14" fillId="3" borderId="3" xfId="10" applyNumberFormat="1" applyFont="1" applyFill="1" applyBorder="1" applyAlignment="1" applyProtection="1">
      <alignment horizontal="center"/>
      <protection hidden="1"/>
    </xf>
    <xf numFmtId="165" fontId="14" fillId="0" borderId="2" xfId="4" applyNumberFormat="1" applyFont="1" applyBorder="1" applyProtection="1">
      <protection hidden="1"/>
    </xf>
    <xf numFmtId="165" fontId="14" fillId="0" borderId="0" xfId="4" applyNumberFormat="1" applyFont="1" applyAlignment="1" applyProtection="1">
      <alignment horizontal="left" indent="1"/>
      <protection hidden="1"/>
    </xf>
    <xf numFmtId="165" fontId="14" fillId="0" borderId="3" xfId="4" applyNumberFormat="1" applyFont="1" applyBorder="1" applyAlignment="1" applyProtection="1">
      <alignment horizontal="left" indent="1"/>
      <protection hidden="1"/>
    </xf>
    <xf numFmtId="165" fontId="14" fillId="3" borderId="3" xfId="4" applyNumberFormat="1" applyFont="1" applyFill="1" applyBorder="1" applyAlignment="1" applyProtection="1">
      <alignment horizontal="left"/>
      <protection hidden="1"/>
    </xf>
    <xf numFmtId="165" fontId="14" fillId="3" borderId="0" xfId="4" applyNumberFormat="1" applyFont="1" applyFill="1" applyAlignment="1" applyProtection="1">
      <alignment horizontal="left"/>
      <protection hidden="1"/>
    </xf>
    <xf numFmtId="165" fontId="33" fillId="3" borderId="2" xfId="4" applyNumberFormat="1" applyFont="1" applyFill="1" applyBorder="1" applyAlignment="1" applyProtection="1">
      <alignment horizontal="left"/>
      <protection hidden="1"/>
    </xf>
    <xf numFmtId="165" fontId="33" fillId="3" borderId="0" xfId="4" applyNumberFormat="1" applyFont="1" applyFill="1" applyAlignment="1" applyProtection="1">
      <alignment horizontal="left"/>
      <protection hidden="1"/>
    </xf>
    <xf numFmtId="0" fontId="14" fillId="3" borderId="2" xfId="0" applyFont="1" applyFill="1" applyBorder="1" applyAlignment="1" applyProtection="1">
      <alignment horizontal="left"/>
      <protection hidden="1"/>
    </xf>
    <xf numFmtId="0" fontId="14" fillId="3" borderId="3" xfId="0" applyFont="1" applyFill="1" applyBorder="1" applyAlignment="1" applyProtection="1">
      <alignment horizontal="left" indent="1"/>
      <protection hidden="1"/>
    </xf>
    <xf numFmtId="0" fontId="14" fillId="3" borderId="2" xfId="0" applyFont="1" applyFill="1" applyBorder="1" applyAlignment="1" applyProtection="1">
      <alignment horizontal="left" indent="1"/>
      <protection hidden="1"/>
    </xf>
    <xf numFmtId="0" fontId="15" fillId="3" borderId="3" xfId="0" applyFont="1" applyFill="1" applyBorder="1" applyProtection="1">
      <protection hidden="1"/>
    </xf>
    <xf numFmtId="0" fontId="36" fillId="3" borderId="0" xfId="8" applyFont="1" applyFill="1" applyProtection="1">
      <protection hidden="1"/>
    </xf>
    <xf numFmtId="9" fontId="18" fillId="3" borderId="0" xfId="1" applyFont="1" applyFill="1" applyBorder="1" applyAlignment="1" applyProtection="1">
      <alignment horizontal="center"/>
      <protection hidden="1"/>
    </xf>
    <xf numFmtId="0" fontId="37" fillId="3" borderId="0" xfId="8" applyFont="1" applyFill="1" applyAlignment="1" applyProtection="1">
      <alignment horizontal="left"/>
      <protection hidden="1"/>
    </xf>
    <xf numFmtId="0" fontId="14" fillId="3" borderId="3" xfId="8" applyFont="1" applyFill="1" applyBorder="1" applyProtection="1">
      <protection hidden="1"/>
    </xf>
    <xf numFmtId="165" fontId="34" fillId="3" borderId="3" xfId="8" applyNumberFormat="1" applyFont="1" applyFill="1" applyBorder="1" applyAlignment="1" applyProtection="1">
      <alignment horizontal="center"/>
      <protection hidden="1"/>
    </xf>
    <xf numFmtId="165" fontId="34" fillId="3" borderId="14" xfId="8" applyNumberFormat="1" applyFont="1" applyFill="1" applyBorder="1" applyAlignment="1" applyProtection="1">
      <alignment horizontal="center"/>
      <protection hidden="1"/>
    </xf>
    <xf numFmtId="165" fontId="3" fillId="3" borderId="0" xfId="8" applyNumberFormat="1" applyFont="1" applyFill="1" applyProtection="1">
      <protection hidden="1"/>
    </xf>
    <xf numFmtId="165" fontId="18" fillId="3" borderId="0" xfId="10" applyNumberFormat="1" applyFont="1" applyFill="1" applyAlignment="1" applyProtection="1">
      <alignment horizontal="center" vertical="center"/>
      <protection hidden="1"/>
    </xf>
    <xf numFmtId="0" fontId="18" fillId="3" borderId="16" xfId="0" applyFont="1" applyFill="1" applyBorder="1" applyProtection="1">
      <protection hidden="1"/>
    </xf>
    <xf numFmtId="0" fontId="4" fillId="0" borderId="0" xfId="8" applyFont="1" applyAlignment="1" applyProtection="1">
      <alignment horizontal="left"/>
      <protection hidden="1"/>
    </xf>
    <xf numFmtId="165" fontId="9" fillId="0" borderId="0" xfId="4" applyNumberFormat="1" applyFont="1" applyAlignment="1" applyProtection="1">
      <alignment horizontal="right"/>
      <protection hidden="1"/>
    </xf>
    <xf numFmtId="165" fontId="9" fillId="0" borderId="0" xfId="4" applyNumberFormat="1" applyFont="1" applyProtection="1">
      <protection hidden="1"/>
    </xf>
    <xf numFmtId="165" fontId="9" fillId="0" borderId="0" xfId="3" applyNumberFormat="1" applyFo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165" fontId="6" fillId="0" borderId="0" xfId="3" applyNumberFormat="1" applyFont="1" applyProtection="1">
      <protection hidden="1"/>
    </xf>
    <xf numFmtId="165" fontId="6" fillId="0" borderId="0" xfId="3" applyNumberFormat="1" applyFont="1" applyAlignment="1" applyProtection="1">
      <alignment horizontal="left"/>
      <protection hidden="1"/>
    </xf>
    <xf numFmtId="165" fontId="6" fillId="0" borderId="0" xfId="3" applyNumberFormat="1" applyFont="1" applyAlignment="1" applyProtection="1">
      <alignment horizontal="right"/>
      <protection hidden="1"/>
    </xf>
    <xf numFmtId="165" fontId="6" fillId="0" borderId="0" xfId="3" applyNumberFormat="1" applyFont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29" fillId="0" borderId="0" xfId="0" applyFont="1" applyAlignment="1" applyProtection="1">
      <alignment horizontal="left"/>
      <protection hidden="1"/>
    </xf>
    <xf numFmtId="0" fontId="29" fillId="0" borderId="0" xfId="0" applyFont="1" applyProtection="1">
      <protection hidden="1"/>
    </xf>
    <xf numFmtId="0" fontId="1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29" fillId="0" borderId="0" xfId="0" applyFont="1" applyAlignment="1" applyProtection="1">
      <alignment horizontal="left" vertical="center" indent="1"/>
      <protection hidden="1"/>
    </xf>
    <xf numFmtId="0" fontId="48" fillId="0" borderId="0" xfId="0" applyFont="1" applyProtection="1">
      <protection hidden="1"/>
    </xf>
    <xf numFmtId="0" fontId="48" fillId="0" borderId="0" xfId="0" applyFont="1" applyAlignment="1" applyProtection="1">
      <alignment vertical="top"/>
      <protection hidden="1"/>
    </xf>
    <xf numFmtId="0" fontId="30" fillId="0" borderId="0" xfId="0" applyFont="1" applyAlignment="1" applyProtection="1">
      <alignment horizontal="left" vertical="top"/>
      <protection hidden="1"/>
    </xf>
    <xf numFmtId="164" fontId="18" fillId="6" borderId="8" xfId="4" applyNumberFormat="1" applyFont="1" applyFill="1" applyBorder="1" applyAlignment="1" applyProtection="1">
      <alignment horizontal="center"/>
      <protection locked="0" hidden="1"/>
    </xf>
    <xf numFmtId="165" fontId="18" fillId="6" borderId="7" xfId="4" applyNumberFormat="1" applyFont="1" applyFill="1" applyBorder="1" applyAlignment="1" applyProtection="1">
      <alignment horizontal="center"/>
      <protection locked="0" hidden="1"/>
    </xf>
    <xf numFmtId="165" fontId="18" fillId="6" borderId="22" xfId="4" applyNumberFormat="1" applyFont="1" applyFill="1" applyBorder="1" applyAlignment="1" applyProtection="1">
      <alignment horizontal="center"/>
      <protection locked="0" hidden="1"/>
    </xf>
    <xf numFmtId="164" fontId="18" fillId="6" borderId="24" xfId="4" applyNumberFormat="1" applyFont="1" applyFill="1" applyBorder="1" applyAlignment="1" applyProtection="1">
      <alignment horizontal="center"/>
      <protection locked="0" hidden="1"/>
    </xf>
    <xf numFmtId="165" fontId="18" fillId="6" borderId="8" xfId="2" applyNumberFormat="1" applyFont="1" applyFill="1" applyBorder="1" applyAlignment="1" applyProtection="1">
      <alignment horizontal="center"/>
      <protection locked="0" hidden="1"/>
    </xf>
    <xf numFmtId="164" fontId="49" fillId="4" borderId="5" xfId="4" applyNumberFormat="1" applyFont="1" applyFill="1" applyBorder="1" applyAlignment="1" applyProtection="1">
      <alignment horizontal="center"/>
      <protection hidden="1"/>
    </xf>
    <xf numFmtId="165" fontId="49" fillId="4" borderId="15" xfId="4" applyNumberFormat="1" applyFont="1" applyFill="1" applyBorder="1" applyAlignment="1" applyProtection="1">
      <alignment horizontal="center"/>
      <protection hidden="1"/>
    </xf>
    <xf numFmtId="165" fontId="49" fillId="4" borderId="22" xfId="4" applyNumberFormat="1" applyFont="1" applyFill="1" applyBorder="1" applyAlignment="1" applyProtection="1">
      <alignment horizontal="center"/>
      <protection hidden="1"/>
    </xf>
    <xf numFmtId="165" fontId="14" fillId="4" borderId="22" xfId="4" applyNumberFormat="1" applyFont="1" applyFill="1" applyBorder="1" applyAlignment="1" applyProtection="1">
      <alignment horizontal="center"/>
      <protection hidden="1"/>
    </xf>
    <xf numFmtId="165" fontId="49" fillId="4" borderId="23" xfId="4" applyNumberFormat="1" applyFont="1" applyFill="1" applyBorder="1" applyAlignment="1" applyProtection="1">
      <alignment horizontal="center"/>
      <protection hidden="1"/>
    </xf>
    <xf numFmtId="165" fontId="14" fillId="4" borderId="23" xfId="4" applyNumberFormat="1" applyFont="1" applyFill="1" applyBorder="1" applyAlignment="1" applyProtection="1">
      <alignment horizontal="center"/>
      <protection hidden="1"/>
    </xf>
    <xf numFmtId="170" fontId="33" fillId="4" borderId="9" xfId="4" applyNumberFormat="1" applyFont="1" applyFill="1" applyBorder="1" applyAlignment="1" applyProtection="1">
      <alignment horizontal="center"/>
      <protection hidden="1"/>
    </xf>
    <xf numFmtId="170" fontId="49" fillId="4" borderId="9" xfId="4" applyNumberFormat="1" applyFont="1" applyFill="1" applyBorder="1" applyAlignment="1" applyProtection="1">
      <alignment horizontal="center"/>
      <protection hidden="1"/>
    </xf>
    <xf numFmtId="164" fontId="49" fillId="4" borderId="15" xfId="4" applyNumberFormat="1" applyFont="1" applyFill="1" applyBorder="1" applyAlignment="1" applyProtection="1">
      <alignment horizontal="center"/>
      <protection hidden="1"/>
    </xf>
    <xf numFmtId="164" fontId="14" fillId="4" borderId="15" xfId="4" applyNumberFormat="1" applyFont="1" applyFill="1" applyBorder="1" applyAlignment="1" applyProtection="1">
      <alignment horizontal="center"/>
      <protection hidden="1"/>
    </xf>
    <xf numFmtId="165" fontId="49" fillId="3" borderId="0" xfId="4" applyNumberFormat="1" applyFont="1" applyFill="1" applyAlignment="1" applyProtection="1">
      <alignment horizontal="center"/>
      <protection hidden="1"/>
    </xf>
    <xf numFmtId="164" fontId="49" fillId="4" borderId="24" xfId="4" applyNumberFormat="1" applyFont="1" applyFill="1" applyBorder="1" applyAlignment="1" applyProtection="1">
      <alignment horizontal="center"/>
      <protection hidden="1"/>
    </xf>
    <xf numFmtId="165" fontId="49" fillId="4" borderId="8" xfId="2" applyNumberFormat="1" applyFont="1" applyFill="1" applyBorder="1" applyAlignment="1" applyProtection="1">
      <alignment horizontal="center"/>
      <protection hidden="1"/>
    </xf>
    <xf numFmtId="9" fontId="49" fillId="4" borderId="17" xfId="1" applyFont="1" applyFill="1" applyBorder="1" applyAlignment="1" applyProtection="1">
      <alignment horizontal="center"/>
      <protection hidden="1"/>
    </xf>
    <xf numFmtId="9" fontId="14" fillId="4" borderId="17" xfId="1" applyFont="1" applyFill="1" applyBorder="1" applyAlignment="1" applyProtection="1">
      <alignment horizontal="center"/>
      <protection hidden="1"/>
    </xf>
    <xf numFmtId="165" fontId="49" fillId="4" borderId="18" xfId="2" applyNumberFormat="1" applyFont="1" applyFill="1" applyBorder="1" applyAlignment="1" applyProtection="1">
      <alignment horizontal="center"/>
      <protection hidden="1"/>
    </xf>
    <xf numFmtId="165" fontId="14" fillId="4" borderId="18" xfId="2" applyNumberFormat="1" applyFont="1" applyFill="1" applyBorder="1" applyAlignment="1" applyProtection="1">
      <alignment horizontal="center"/>
      <protection hidden="1"/>
    </xf>
    <xf numFmtId="165" fontId="14" fillId="6" borderId="8" xfId="2" applyNumberFormat="1" applyFont="1" applyFill="1" applyBorder="1" applyAlignment="1" applyProtection="1">
      <alignment horizontal="center" vertical="center"/>
      <protection locked="0" hidden="1"/>
    </xf>
    <xf numFmtId="165" fontId="14" fillId="6" borderId="4" xfId="2" applyNumberFormat="1" applyFont="1" applyFill="1" applyBorder="1" applyAlignment="1" applyProtection="1">
      <alignment horizontal="center" vertical="center"/>
      <protection locked="0" hidden="1"/>
    </xf>
    <xf numFmtId="165" fontId="14" fillId="6" borderId="11" xfId="2" applyNumberFormat="1" applyFont="1" applyFill="1" applyBorder="1" applyAlignment="1" applyProtection="1">
      <alignment horizontal="center" vertical="center"/>
      <protection locked="0" hidden="1"/>
    </xf>
    <xf numFmtId="0" fontId="23" fillId="6" borderId="3" xfId="8" applyFont="1" applyFill="1" applyBorder="1" applyAlignment="1" applyProtection="1">
      <alignment horizontal="right"/>
      <protection hidden="1"/>
    </xf>
    <xf numFmtId="165" fontId="14" fillId="4" borderId="11" xfId="2" applyNumberFormat="1" applyFont="1" applyFill="1" applyBorder="1" applyAlignment="1" applyProtection="1">
      <alignment horizontal="center" vertical="center"/>
      <protection hidden="1"/>
    </xf>
    <xf numFmtId="165" fontId="14" fillId="4" borderId="4" xfId="2" applyNumberFormat="1" applyFont="1" applyFill="1" applyBorder="1" applyAlignment="1" applyProtection="1">
      <alignment horizontal="center" vertical="center"/>
      <protection hidden="1"/>
    </xf>
    <xf numFmtId="165" fontId="14" fillId="4" borderId="10" xfId="2" applyNumberFormat="1" applyFont="1" applyFill="1" applyBorder="1" applyAlignment="1" applyProtection="1">
      <alignment horizontal="center" vertical="center"/>
      <protection hidden="1"/>
    </xf>
    <xf numFmtId="165" fontId="14" fillId="4" borderId="7" xfId="2" applyNumberFormat="1" applyFont="1" applyFill="1" applyBorder="1" applyAlignment="1" applyProtection="1">
      <alignment horizontal="center" vertical="center"/>
      <protection hidden="1"/>
    </xf>
    <xf numFmtId="9" fontId="14" fillId="4" borderId="25" xfId="1" applyFont="1" applyFill="1" applyBorder="1" applyAlignment="1" applyProtection="1">
      <alignment horizontal="center" vertical="center"/>
      <protection hidden="1"/>
    </xf>
    <xf numFmtId="165" fontId="14" fillId="4" borderId="5" xfId="2" applyNumberFormat="1" applyFont="1" applyFill="1" applyBorder="1" applyAlignment="1" applyProtection="1">
      <alignment horizontal="center" vertical="center"/>
      <protection hidden="1"/>
    </xf>
    <xf numFmtId="167" fontId="14" fillId="4" borderId="7" xfId="2" applyNumberFormat="1" applyFont="1" applyFill="1" applyBorder="1" applyAlignment="1" applyProtection="1">
      <alignment horizontal="center" vertical="center"/>
      <protection hidden="1"/>
    </xf>
    <xf numFmtId="165" fontId="14" fillId="4" borderId="13" xfId="2" applyNumberFormat="1" applyFont="1" applyFill="1" applyBorder="1" applyAlignment="1" applyProtection="1">
      <alignment horizontal="center" vertical="center"/>
      <protection hidden="1"/>
    </xf>
    <xf numFmtId="165" fontId="14" fillId="4" borderId="9" xfId="2" applyNumberFormat="1" applyFont="1" applyFill="1" applyBorder="1" applyAlignment="1" applyProtection="1">
      <alignment horizontal="center" vertical="center"/>
      <protection hidden="1"/>
    </xf>
    <xf numFmtId="165" fontId="14" fillId="4" borderId="12" xfId="2" applyNumberFormat="1" applyFont="1" applyFill="1" applyBorder="1" applyAlignment="1" applyProtection="1">
      <alignment horizontal="center" vertical="center"/>
      <protection hidden="1"/>
    </xf>
    <xf numFmtId="9" fontId="14" fillId="4" borderId="4" xfId="1" applyFont="1" applyFill="1" applyBorder="1" applyAlignment="1" applyProtection="1">
      <alignment horizontal="center" vertical="center"/>
      <protection hidden="1"/>
    </xf>
    <xf numFmtId="165" fontId="14" fillId="4" borderId="8" xfId="2" applyNumberFormat="1" applyFont="1" applyFill="1" applyBorder="1" applyAlignment="1" applyProtection="1">
      <alignment horizontal="center" vertical="center"/>
      <protection hidden="1"/>
    </xf>
    <xf numFmtId="9" fontId="14" fillId="4" borderId="17" xfId="1" applyFont="1" applyFill="1" applyBorder="1" applyAlignment="1" applyProtection="1">
      <alignment horizontal="center" vertical="center"/>
      <protection hidden="1"/>
    </xf>
    <xf numFmtId="0" fontId="52" fillId="3" borderId="0" xfId="16" applyFont="1" applyFill="1" applyAlignment="1" applyProtection="1">
      <alignment vertical="center"/>
      <protection hidden="1"/>
    </xf>
    <xf numFmtId="167" fontId="14" fillId="4" borderId="27" xfId="2" applyNumberFormat="1" applyFont="1" applyFill="1" applyBorder="1" applyAlignment="1" applyProtection="1">
      <alignment horizontal="center" vertical="center"/>
      <protection hidden="1"/>
    </xf>
    <xf numFmtId="167" fontId="14" fillId="4" borderId="15" xfId="2" applyNumberFormat="1" applyFont="1" applyFill="1" applyBorder="1" applyAlignment="1" applyProtection="1">
      <alignment horizontal="center" vertical="center"/>
      <protection hidden="1"/>
    </xf>
    <xf numFmtId="167" fontId="14" fillId="6" borderId="22" xfId="2" applyNumberFormat="1" applyFont="1" applyFill="1" applyBorder="1" applyAlignment="1" applyProtection="1">
      <alignment horizontal="center" vertical="center"/>
      <protection locked="0" hidden="1"/>
    </xf>
    <xf numFmtId="0" fontId="4" fillId="3" borderId="0" xfId="10" applyFont="1" applyFill="1" applyProtection="1">
      <protection locked="0" hidden="1"/>
    </xf>
    <xf numFmtId="0" fontId="30" fillId="0" borderId="0" xfId="0" applyFont="1" applyAlignment="1" applyProtection="1">
      <alignment horizontal="left" vertical="top"/>
      <protection hidden="1"/>
    </xf>
    <xf numFmtId="0" fontId="52" fillId="3" borderId="0" xfId="16" applyFont="1" applyFill="1" applyAlignment="1" applyProtection="1">
      <alignment horizontal="center" vertical="center"/>
      <protection hidden="1"/>
    </xf>
    <xf numFmtId="165" fontId="15" fillId="3" borderId="19" xfId="8" applyNumberFormat="1" applyFont="1" applyFill="1" applyBorder="1" applyAlignment="1" applyProtection="1">
      <alignment horizontal="left"/>
      <protection hidden="1"/>
    </xf>
    <xf numFmtId="0" fontId="21" fillId="3" borderId="0" xfId="8" applyFont="1" applyFill="1" applyAlignment="1" applyProtection="1">
      <alignment horizontal="left" vertical="center"/>
      <protection hidden="1"/>
    </xf>
    <xf numFmtId="0" fontId="21" fillId="3" borderId="0" xfId="8" applyFont="1" applyFill="1" applyAlignment="1" applyProtection="1">
      <alignment horizontal="left"/>
      <protection hidden="1"/>
    </xf>
    <xf numFmtId="0" fontId="15" fillId="3" borderId="2" xfId="8" applyFont="1" applyFill="1" applyBorder="1" applyAlignment="1" applyProtection="1">
      <alignment horizontal="left" vertical="center"/>
      <protection hidden="1"/>
    </xf>
    <xf numFmtId="0" fontId="27" fillId="3" borderId="0" xfId="0" applyFont="1" applyFill="1" applyAlignment="1" applyProtection="1">
      <alignment horizontal="left"/>
      <protection hidden="1"/>
    </xf>
    <xf numFmtId="0" fontId="15" fillId="3" borderId="0" xfId="8" applyFont="1" applyFill="1" applyAlignment="1" applyProtection="1">
      <alignment horizontal="left"/>
      <protection hidden="1"/>
    </xf>
    <xf numFmtId="0" fontId="15" fillId="3" borderId="3" xfId="8" applyFont="1" applyFill="1" applyBorder="1" applyAlignment="1" applyProtection="1">
      <alignment horizontal="left"/>
      <protection hidden="1"/>
    </xf>
    <xf numFmtId="0" fontId="15" fillId="3" borderId="19" xfId="8" applyFont="1" applyFill="1" applyBorder="1" applyAlignment="1" applyProtection="1">
      <alignment horizontal="left"/>
      <protection hidden="1"/>
    </xf>
    <xf numFmtId="0" fontId="15" fillId="6" borderId="0" xfId="8" applyFont="1" applyFill="1" applyAlignment="1" applyProtection="1">
      <alignment horizontal="left" vertical="center"/>
      <protection hidden="1"/>
    </xf>
    <xf numFmtId="0" fontId="18" fillId="3" borderId="0" xfId="8" applyFont="1" applyFill="1" applyAlignment="1" applyProtection="1">
      <alignment horizontal="center" vertical="center"/>
      <protection hidden="1"/>
    </xf>
    <xf numFmtId="0" fontId="18" fillId="3" borderId="3" xfId="8" applyFont="1" applyFill="1" applyBorder="1" applyAlignment="1" applyProtection="1">
      <alignment horizontal="center" vertical="center"/>
      <protection hidden="1"/>
    </xf>
    <xf numFmtId="0" fontId="18" fillId="3" borderId="16" xfId="0" applyFont="1" applyFill="1" applyBorder="1" applyAlignment="1" applyProtection="1">
      <alignment horizontal="left"/>
      <protection hidden="1"/>
    </xf>
    <xf numFmtId="0" fontId="15" fillId="3" borderId="19" xfId="8" applyFont="1" applyFill="1" applyBorder="1" applyAlignment="1" applyProtection="1">
      <alignment horizontal="left" vertical="center"/>
      <protection hidden="1"/>
    </xf>
    <xf numFmtId="0" fontId="15" fillId="3" borderId="2" xfId="8" applyFont="1" applyFill="1" applyBorder="1" applyAlignment="1" applyProtection="1">
      <alignment horizontal="left"/>
      <protection hidden="1"/>
    </xf>
    <xf numFmtId="0" fontId="21" fillId="3" borderId="2" xfId="8" applyFont="1" applyFill="1" applyBorder="1" applyAlignment="1" applyProtection="1">
      <alignment horizontal="center"/>
      <protection hidden="1"/>
    </xf>
    <xf numFmtId="0" fontId="32" fillId="3" borderId="0" xfId="8" applyFont="1" applyFill="1" applyAlignment="1" applyProtection="1">
      <alignment horizontal="left"/>
      <protection hidden="1"/>
    </xf>
    <xf numFmtId="165" fontId="36" fillId="3" borderId="0" xfId="4" applyNumberFormat="1" applyFont="1" applyFill="1" applyAlignment="1" applyProtection="1">
      <alignment horizontal="left" vertical="center"/>
      <protection hidden="1"/>
    </xf>
    <xf numFmtId="0" fontId="32" fillId="3" borderId="0" xfId="8" applyFont="1" applyFill="1" applyAlignment="1" applyProtection="1">
      <alignment horizontal="left" vertical="center"/>
      <protection hidden="1"/>
    </xf>
  </cellXfs>
  <cellStyles count="17">
    <cellStyle name="Comma 2" xfId="5" xr:uid="{6CB0BA34-2EE7-40D2-A168-3402D595ECE8}"/>
    <cellStyle name="Comma 2 2" xfId="14" xr:uid="{DAB99920-7024-4F25-92F2-C0795506F1B3}"/>
    <cellStyle name="Currency 2" xfId="6" xr:uid="{80500B2E-ED9A-4F69-A1EC-9BA772C30888}"/>
    <cellStyle name="Hyperlink" xfId="16" builtinId="8"/>
    <cellStyle name="Input" xfId="2" builtinId="20"/>
    <cellStyle name="Normal" xfId="0" builtinId="0"/>
    <cellStyle name="Normal 2" xfId="3" xr:uid="{8F13FAC1-9BDD-485D-B40C-05636A5AFA96}"/>
    <cellStyle name="Normal 2 2" xfId="8" xr:uid="{CDF791C8-D17C-4F3E-A59E-3BA47648437D}"/>
    <cellStyle name="Normal 2 2 2" xfId="11" xr:uid="{F933EFE7-F81E-44EC-BB8F-EC45C035FCF8}"/>
    <cellStyle name="Normal 2 2 3" xfId="10" xr:uid="{73EBF1A9-5CB4-4B78-9EA9-D2CB00F75D55}"/>
    <cellStyle name="Normal 3" xfId="15" xr:uid="{A34D6F6D-01CF-4A59-B4EF-898718BDF47A}"/>
    <cellStyle name="Normal 3 2" xfId="12" xr:uid="{10C3D2E7-D77D-4663-8E59-13B9A391A431}"/>
    <cellStyle name="Normal_Share Count Analysis" xfId="4" xr:uid="{57373F44-4A08-440B-91F8-0E6F56BCDECE}"/>
    <cellStyle name="Percent" xfId="1" builtinId="5"/>
    <cellStyle name="Percent 2" xfId="7" xr:uid="{EEB0FFF2-9F0D-430C-BAA0-D1FCBA0B22F6}"/>
    <cellStyle name="Percent 2 2" xfId="9" xr:uid="{75F52E83-C886-45FD-91EC-A72826112B3B}"/>
    <cellStyle name="Percent 3" xfId="13" xr:uid="{CC2C2290-2262-496B-BC5B-67A657C10504}"/>
  </cellStyles>
  <dxfs count="3">
    <dxf>
      <font>
        <b/>
        <i val="0"/>
        <color theme="0"/>
      </font>
      <fill>
        <patternFill>
          <bgColor rgb="FFC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C0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FFEB"/>
      <color rgb="FFF5F5F5"/>
      <color rgb="FFF8F8F8"/>
      <color rgb="FFF9F9F9"/>
      <color rgb="FFF7F7F7"/>
      <color rgb="FFFAFAFA"/>
      <color rgb="FFF4F4F4"/>
      <color rgb="FFF2F2F2"/>
      <color rgb="FFF0F0F0"/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trlProps/ctrlProp1.xml><?xml version="1.0" encoding="utf-8"?>
<formControlPr xmlns="http://schemas.microsoft.com/office/spreadsheetml/2009/9/main" objectType="CheckBox" checked="Checked" fmlaLink="$N$8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models.com/checkout/?add-to-cart=7454&amp;coupon=SAVE20" TargetMode="External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4&amp;coupon=SAVE20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4&amp;coupon=SAVE20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4&amp;coupon=SAVE20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hyperlink" Target="https://excelmodels.com/checkout/?add-to-cart=7454&amp;coupon=SAVE20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22864</xdr:colOff>
      <xdr:row>18</xdr:row>
      <xdr:rowOff>297180</xdr:rowOff>
    </xdr:from>
    <xdr:to>
      <xdr:col>4</xdr:col>
      <xdr:colOff>1099588</xdr:colOff>
      <xdr:row>25</xdr:row>
      <xdr:rowOff>53341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26F6BA-2802-4D55-B03B-7E33C697E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4" y="4168140"/>
          <a:ext cx="3568464" cy="1112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22864</xdr:colOff>
      <xdr:row>1</xdr:row>
      <xdr:rowOff>297180</xdr:rowOff>
    </xdr:from>
    <xdr:to>
      <xdr:col>5</xdr:col>
      <xdr:colOff>1230697</xdr:colOff>
      <xdr:row>3</xdr:row>
      <xdr:rowOff>509544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557D2FD-2B90-4935-B8D2-DBC5728AF1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4" y="426720"/>
          <a:ext cx="5071173" cy="72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60960</xdr:colOff>
      <xdr:row>2</xdr:row>
      <xdr:rowOff>0</xdr:rowOff>
    </xdr:from>
    <xdr:to>
      <xdr:col>7</xdr:col>
      <xdr:colOff>83820</xdr:colOff>
      <xdr:row>3</xdr:row>
      <xdr:rowOff>0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F393015-73F7-4C1F-BA83-062A421F2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44196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106680</xdr:colOff>
          <xdr:row>10</xdr:row>
          <xdr:rowOff>60960</xdr:rowOff>
        </xdr:from>
        <xdr:to>
          <xdr:col>5</xdr:col>
          <xdr:colOff>15240</xdr:colOff>
          <xdr:row>11</xdr:row>
          <xdr:rowOff>76200</xdr:rowOff>
        </xdr:to>
        <xdr:sp macro="" textlink="">
          <xdr:nvSpPr>
            <xdr:cNvPr id="20511" name="Check Box 31" hidden="1">
              <a:extLst>
                <a:ext uri="{63B3BB69-23CF-44E3-9099-C40C66FF867C}">
                  <a14:compatExt spid="_x0000_s20511"/>
                </a:ext>
                <a:ext uri="{FF2B5EF4-FFF2-40B4-BE49-F238E27FC236}">
                  <a16:creationId xmlns:a16="http://schemas.microsoft.com/office/drawing/2014/main" id="{00000000-0008-0000-0100-00001F5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144780</xdr:colOff>
      <xdr:row>2</xdr:row>
      <xdr:rowOff>60960</xdr:rowOff>
    </xdr:from>
    <xdr:to>
      <xdr:col>9</xdr:col>
      <xdr:colOff>502920</xdr:colOff>
      <xdr:row>3</xdr:row>
      <xdr:rowOff>0</xdr:rowOff>
    </xdr:to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18D93A-870B-44D9-BCEA-6C4B2F60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1660" y="3048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</xdr:colOff>
      <xdr:row>4</xdr:row>
      <xdr:rowOff>144781</xdr:rowOff>
    </xdr:from>
    <xdr:to>
      <xdr:col>9</xdr:col>
      <xdr:colOff>365760</xdr:colOff>
      <xdr:row>5</xdr:row>
      <xdr:rowOff>40350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0CED98F-8856-4769-A43F-1C1F2BA4A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06881" y="807721"/>
          <a:ext cx="1539239" cy="1622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144780</xdr:colOff>
      <xdr:row>2</xdr:row>
      <xdr:rowOff>60960</xdr:rowOff>
    </xdr:from>
    <xdr:to>
      <xdr:col>7</xdr:col>
      <xdr:colOff>304800</xdr:colOff>
      <xdr:row>3</xdr:row>
      <xdr:rowOff>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AC510C0-DD7E-453A-8C88-A907C4FA9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960" y="3048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259080</xdr:colOff>
      <xdr:row>2</xdr:row>
      <xdr:rowOff>60960</xdr:rowOff>
    </xdr:from>
    <xdr:to>
      <xdr:col>8</xdr:col>
      <xdr:colOff>30480</xdr:colOff>
      <xdr:row>3</xdr:row>
      <xdr:rowOff>0</xdr:rowOff>
    </xdr:to>
    <xdr:pic>
      <xdr:nvPicPr>
        <xdr:cNvPr id="6" name="Pictur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F22505-01D9-43E5-ABF3-06D174519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" y="3048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68581</xdr:colOff>
      <xdr:row>4</xdr:row>
      <xdr:rowOff>129540</xdr:rowOff>
    </xdr:from>
    <xdr:to>
      <xdr:col>9</xdr:col>
      <xdr:colOff>208789</xdr:colOff>
      <xdr:row>4</xdr:row>
      <xdr:rowOff>247695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0AB008-A463-4A88-8367-9042D1CDC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110741" y="792480"/>
          <a:ext cx="2487168" cy="1181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121920</xdr:colOff>
      <xdr:row>2</xdr:row>
      <xdr:rowOff>60960</xdr:rowOff>
    </xdr:from>
    <xdr:to>
      <xdr:col>7</xdr:col>
      <xdr:colOff>434340</xdr:colOff>
      <xdr:row>3</xdr:row>
      <xdr:rowOff>0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88EA761-D7F4-4D82-BAF0-3CDF3031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280" y="304800"/>
          <a:ext cx="1531620" cy="1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31C2D-3D00-4FB2-AFE4-FA0C9701F681}">
  <sheetPr>
    <tabColor rgb="FF0080EA"/>
    <pageSetUpPr fitToPage="1"/>
  </sheetPr>
  <dimension ref="A1:U19"/>
  <sheetViews>
    <sheetView showGridLines="0" showRowColHeaders="0" tabSelected="1" zoomScaleNormal="100" zoomScaleSheetLayoutView="85" workbookViewId="0"/>
  </sheetViews>
  <sheetFormatPr defaultColWidth="9.109375" defaultRowHeight="13.8" x14ac:dyDescent="0.3"/>
  <cols>
    <col min="1" max="1" width="3" style="180" customWidth="1"/>
    <col min="2" max="2" width="7.5546875" style="181" customWidth="1"/>
    <col min="3" max="3" width="19.33203125" style="181" customWidth="1"/>
    <col min="4" max="4" width="17" style="181" customWidth="1"/>
    <col min="5" max="5" width="20" style="181" customWidth="1"/>
    <col min="6" max="6" width="18.33203125" style="181" bestFit="1" customWidth="1"/>
    <col min="7" max="7" width="22" style="181" customWidth="1"/>
    <col min="8" max="16384" width="9.109375" style="181"/>
  </cols>
  <sheetData>
    <row r="1" spans="1:21" s="173" customFormat="1" ht="10.199999999999999" x14ac:dyDescent="0.2">
      <c r="A1" s="13" t="s">
        <v>4</v>
      </c>
      <c r="B1" s="171"/>
      <c r="C1" s="171"/>
      <c r="D1" s="171"/>
      <c r="E1" s="172"/>
      <c r="F1" s="172"/>
      <c r="G1" s="172"/>
      <c r="H1" s="172"/>
      <c r="I1" s="172"/>
    </row>
    <row r="2" spans="1:21" s="176" customFormat="1" ht="24.6" customHeight="1" x14ac:dyDescent="0.3">
      <c r="A2" s="174"/>
      <c r="B2" s="175"/>
      <c r="E2" s="177"/>
      <c r="F2" s="178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7"/>
      <c r="R2" s="177"/>
      <c r="S2" s="177"/>
      <c r="T2" s="177"/>
      <c r="U2" s="177"/>
    </row>
    <row r="3" spans="1:21" ht="15.6" customHeight="1" x14ac:dyDescent="0.3">
      <c r="A3" s="181"/>
      <c r="G3" s="230"/>
    </row>
    <row r="4" spans="1:21" ht="40.799999999999997" customHeight="1" x14ac:dyDescent="0.3">
      <c r="B4" s="180"/>
      <c r="C4" s="235" t="s">
        <v>118</v>
      </c>
      <c r="D4" s="235"/>
      <c r="E4" s="235"/>
      <c r="F4" s="235"/>
      <c r="G4" s="180"/>
    </row>
    <row r="5" spans="1:21" ht="24" customHeight="1" x14ac:dyDescent="0.3">
      <c r="B5" s="180"/>
      <c r="C5" s="190"/>
      <c r="D5" s="190"/>
      <c r="E5" s="190"/>
      <c r="F5" s="190"/>
      <c r="G5" s="180"/>
    </row>
    <row r="6" spans="1:21" s="186" customFormat="1" ht="13.8" customHeight="1" x14ac:dyDescent="0.3">
      <c r="C6" s="187" t="s">
        <v>119</v>
      </c>
      <c r="D6" s="185"/>
      <c r="E6" s="185"/>
      <c r="F6" s="185"/>
    </row>
    <row r="7" spans="1:21" s="186" customFormat="1" ht="13.8" customHeight="1" x14ac:dyDescent="0.3">
      <c r="C7" s="187" t="s">
        <v>120</v>
      </c>
      <c r="D7" s="185"/>
      <c r="E7" s="185"/>
      <c r="F7" s="185"/>
    </row>
    <row r="8" spans="1:21" s="186" customFormat="1" ht="13.8" customHeight="1" x14ac:dyDescent="0.3">
      <c r="C8" s="187" t="s">
        <v>121</v>
      </c>
      <c r="D8" s="185"/>
      <c r="E8" s="185"/>
      <c r="F8" s="185"/>
    </row>
    <row r="9" spans="1:21" s="186" customFormat="1" ht="13.8" customHeight="1" x14ac:dyDescent="0.3">
      <c r="C9" s="187" t="s">
        <v>122</v>
      </c>
      <c r="D9" s="185"/>
      <c r="E9" s="185"/>
      <c r="F9" s="185"/>
      <c r="I9" s="230"/>
      <c r="J9" s="230"/>
    </row>
    <row r="10" spans="1:21" ht="24" customHeight="1" x14ac:dyDescent="0.3">
      <c r="A10" s="181"/>
    </row>
    <row r="11" spans="1:21" x14ac:dyDescent="0.3">
      <c r="C11" s="182" t="s">
        <v>19</v>
      </c>
      <c r="D11" s="182" t="s">
        <v>20</v>
      </c>
      <c r="E11" s="182" t="s">
        <v>18</v>
      </c>
      <c r="F11" s="182" t="s">
        <v>45</v>
      </c>
    </row>
    <row r="12" spans="1:21" s="188" customFormat="1" ht="13.8" customHeight="1" x14ac:dyDescent="0.3">
      <c r="C12" s="183" t="s">
        <v>54</v>
      </c>
      <c r="D12" s="183" t="s">
        <v>23</v>
      </c>
      <c r="E12" s="183" t="s">
        <v>28</v>
      </c>
      <c r="F12" s="183" t="s">
        <v>104</v>
      </c>
    </row>
    <row r="13" spans="1:21" s="188" customFormat="1" ht="13.8" customHeight="1" x14ac:dyDescent="0.3">
      <c r="C13" s="183" t="s">
        <v>21</v>
      </c>
      <c r="D13" s="183" t="s">
        <v>52</v>
      </c>
      <c r="E13" s="183" t="s">
        <v>29</v>
      </c>
      <c r="F13" s="183" t="s">
        <v>34</v>
      </c>
    </row>
    <row r="14" spans="1:21" s="188" customFormat="1" ht="13.8" customHeight="1" x14ac:dyDescent="0.3">
      <c r="C14" s="183" t="s">
        <v>43</v>
      </c>
      <c r="D14" s="183" t="s">
        <v>24</v>
      </c>
      <c r="E14" s="183" t="s">
        <v>30</v>
      </c>
      <c r="F14" s="183" t="s">
        <v>35</v>
      </c>
    </row>
    <row r="15" spans="1:21" s="188" customFormat="1" ht="13.8" customHeight="1" x14ac:dyDescent="0.3">
      <c r="C15" s="183" t="s">
        <v>44</v>
      </c>
      <c r="D15" s="183" t="s">
        <v>53</v>
      </c>
      <c r="E15" s="183" t="s">
        <v>31</v>
      </c>
      <c r="F15" s="183" t="s">
        <v>46</v>
      </c>
    </row>
    <row r="16" spans="1:21" s="188" customFormat="1" ht="13.8" customHeight="1" x14ac:dyDescent="0.3">
      <c r="C16" s="183" t="s">
        <v>22</v>
      </c>
      <c r="D16" s="183" t="s">
        <v>25</v>
      </c>
      <c r="E16" s="183" t="s">
        <v>32</v>
      </c>
      <c r="F16" s="184" t="s">
        <v>47</v>
      </c>
    </row>
    <row r="17" spans="1:7" s="188" customFormat="1" ht="13.8" customHeight="1" x14ac:dyDescent="0.3">
      <c r="C17" s="183" t="s">
        <v>55</v>
      </c>
      <c r="D17" s="183" t="s">
        <v>26</v>
      </c>
      <c r="E17" s="183" t="s">
        <v>33</v>
      </c>
      <c r="F17" s="183" t="s">
        <v>36</v>
      </c>
    </row>
    <row r="18" spans="1:7" s="189" customFormat="1" ht="13.8" customHeight="1" x14ac:dyDescent="0.3">
      <c r="A18" s="188"/>
      <c r="B18" s="188"/>
      <c r="C18" s="183" t="s">
        <v>56</v>
      </c>
      <c r="D18" s="183" t="s">
        <v>27</v>
      </c>
      <c r="E18" s="183"/>
      <c r="F18" s="183"/>
      <c r="G18" s="188"/>
    </row>
    <row r="19" spans="1:7" ht="24" customHeight="1" x14ac:dyDescent="0.3">
      <c r="A19" s="181"/>
    </row>
  </sheetData>
  <sheetProtection algorithmName="SHA-512" hashValue="/k3QIsvFa3yLMi6BhoKpozzSthV2brumXFBJQzj1kUSKSm5zx2UgSAisG1l24apSjNImRsa0iaBgUXyepV+KAw==" saltValue="+fkcUsBQf8xlHrDLaALA/w==" spinCount="100000" sheet="1" objects="1" scenarios="1" selectLockedCells="1" selectUnlockedCells="1"/>
  <mergeCells count="1">
    <mergeCell ref="C4:F4"/>
  </mergeCells>
  <printOptions horizontalCentered="1"/>
  <pageMargins left="0.5" right="0.5" top="0.75" bottom="0.5" header="0.3" footer="0.3"/>
  <pageSetup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35581-3B56-4DE9-B00D-3FB3971BAF57}">
  <sheetPr>
    <tabColor theme="8" tint="0.79998168889431442"/>
    <pageSetUpPr fitToPage="1"/>
  </sheetPr>
  <dimension ref="A1:W30"/>
  <sheetViews>
    <sheetView showGridLines="0" showRowColHeaders="0" zoomScaleNormal="100" zoomScaleSheetLayoutView="145" workbookViewId="0"/>
  </sheetViews>
  <sheetFormatPr defaultColWidth="10" defaultRowHeight="12.6" customHeight="1" x14ac:dyDescent="0.3"/>
  <cols>
    <col min="1" max="1" width="3" style="2" customWidth="1"/>
    <col min="2" max="2" width="3.33203125" style="2" customWidth="1"/>
    <col min="3" max="3" width="0.88671875" style="2" customWidth="1"/>
    <col min="4" max="4" width="9.33203125" style="4" customWidth="1"/>
    <col min="5" max="5" width="4.21875" style="4" customWidth="1"/>
    <col min="6" max="6" width="1.88671875" style="4" customWidth="1"/>
    <col min="7" max="7" width="2.21875" style="4" customWidth="1"/>
    <col min="8" max="13" width="8.5546875" style="4" customWidth="1"/>
    <col min="14" max="14" width="8.5546875" style="4" hidden="1" customWidth="1"/>
    <col min="15" max="15" width="6.6640625" style="4" customWidth="1"/>
    <col min="16" max="16" width="0.88671875" style="4" customWidth="1"/>
    <col min="17" max="17" width="12.21875" style="4" customWidth="1"/>
    <col min="18" max="18" width="1.6640625" style="4" customWidth="1"/>
    <col min="19" max="23" width="8.5546875" style="44" customWidth="1"/>
    <col min="24" max="16384" width="10" style="4"/>
  </cols>
  <sheetData>
    <row r="1" spans="1:23" s="8" customFormat="1" ht="10.199999999999999" x14ac:dyDescent="0.2">
      <c r="A1" s="234"/>
      <c r="B1" s="7"/>
      <c r="C1" s="7"/>
      <c r="D1" s="9"/>
      <c r="E1" s="9"/>
      <c r="F1" s="9"/>
      <c r="G1" s="9"/>
    </row>
    <row r="2" spans="1:23" s="3" customFormat="1" ht="9" customHeight="1" x14ac:dyDescent="0.45">
      <c r="D2" s="18"/>
      <c r="E2" s="18"/>
      <c r="F2" s="19"/>
    </row>
    <row r="3" spans="1:23" s="3" customFormat="1" ht="20.399999999999999" x14ac:dyDescent="0.45">
      <c r="C3" s="241" t="s">
        <v>17</v>
      </c>
      <c r="D3" s="241"/>
      <c r="E3" s="241"/>
      <c r="F3" s="137"/>
      <c r="G3" s="20"/>
      <c r="H3" s="20"/>
      <c r="I3" s="20"/>
      <c r="J3" s="230"/>
      <c r="L3" s="21"/>
      <c r="M3" s="21"/>
      <c r="N3" s="21"/>
      <c r="O3" s="21"/>
      <c r="P3" s="21"/>
      <c r="S3" s="20"/>
      <c r="T3" s="20"/>
      <c r="U3" s="236"/>
      <c r="V3" s="236"/>
      <c r="W3" s="236"/>
    </row>
    <row r="4" spans="1:23" s="2" customFormat="1" x14ac:dyDescent="0.25">
      <c r="C4" s="14" t="s">
        <v>42</v>
      </c>
      <c r="S4" s="37"/>
      <c r="T4" s="37"/>
      <c r="U4" s="37"/>
      <c r="V4" s="37"/>
      <c r="W4" s="37"/>
    </row>
    <row r="5" spans="1:23" s="24" customFormat="1" ht="21" customHeight="1" x14ac:dyDescent="0.3">
      <c r="D5" s="39"/>
      <c r="E5" s="39"/>
      <c r="F5" s="39"/>
      <c r="G5" s="39"/>
      <c r="H5" s="39"/>
      <c r="I5" s="39"/>
      <c r="J5" s="39"/>
      <c r="K5" s="39"/>
      <c r="L5" s="23"/>
      <c r="M5" s="39"/>
      <c r="N5" s="39"/>
      <c r="O5" s="39"/>
      <c r="P5" s="23"/>
      <c r="S5" s="48"/>
      <c r="T5" s="48"/>
      <c r="U5" s="48"/>
      <c r="V5" s="48"/>
      <c r="W5" s="48"/>
    </row>
    <row r="6" spans="1:23" s="86" customFormat="1" x14ac:dyDescent="0.3">
      <c r="B6" s="113"/>
      <c r="C6" s="113"/>
      <c r="H6" s="246" t="s">
        <v>6</v>
      </c>
      <c r="I6" s="246" t="s">
        <v>0</v>
      </c>
      <c r="J6" s="246" t="s">
        <v>1</v>
      </c>
      <c r="K6" s="246" t="s">
        <v>2</v>
      </c>
      <c r="L6" s="246" t="s">
        <v>3</v>
      </c>
      <c r="M6" s="115"/>
      <c r="N6" s="115"/>
      <c r="O6" s="116"/>
      <c r="P6" s="116"/>
      <c r="Q6" s="116"/>
      <c r="R6" s="117"/>
      <c r="S6" s="114" t="s">
        <v>6</v>
      </c>
      <c r="T6" s="114" t="s">
        <v>0</v>
      </c>
      <c r="U6" s="114" t="s">
        <v>1</v>
      </c>
      <c r="V6" s="114" t="s">
        <v>2</v>
      </c>
      <c r="W6" s="114" t="s">
        <v>3</v>
      </c>
    </row>
    <row r="7" spans="1:23" s="91" customFormat="1" ht="12.6" customHeight="1" x14ac:dyDescent="0.4">
      <c r="C7" s="239" t="s">
        <v>88</v>
      </c>
      <c r="D7" s="239"/>
      <c r="E7" s="239"/>
      <c r="F7" s="119"/>
      <c r="H7" s="247"/>
      <c r="I7" s="247"/>
      <c r="J7" s="247"/>
      <c r="K7" s="247"/>
      <c r="L7" s="247"/>
      <c r="P7" s="239" t="s">
        <v>90</v>
      </c>
      <c r="Q7" s="239"/>
      <c r="S7" s="83"/>
      <c r="T7" s="112"/>
      <c r="U7" s="112"/>
      <c r="V7" s="112"/>
      <c r="W7" s="112"/>
    </row>
    <row r="8" spans="1:23" s="91" customFormat="1" ht="12.6" customHeight="1" x14ac:dyDescent="0.3">
      <c r="D8" s="242" t="s">
        <v>10</v>
      </c>
      <c r="E8" s="242"/>
      <c r="F8" s="242"/>
      <c r="H8" s="228">
        <v>500</v>
      </c>
      <c r="I8" s="45"/>
      <c r="J8" s="45"/>
      <c r="K8" s="45"/>
      <c r="L8" s="45"/>
      <c r="N8" s="141" t="b">
        <v>1</v>
      </c>
      <c r="Q8" s="91" t="s">
        <v>63</v>
      </c>
      <c r="S8" s="215">
        <v>40</v>
      </c>
      <c r="T8" s="217">
        <v>40</v>
      </c>
      <c r="U8" s="218">
        <v>40</v>
      </c>
      <c r="V8" s="219">
        <v>40</v>
      </c>
      <c r="W8" s="219">
        <v>40</v>
      </c>
    </row>
    <row r="9" spans="1:23" s="91" customFormat="1" ht="12.6" customHeight="1" x14ac:dyDescent="0.3">
      <c r="D9" s="243" t="s">
        <v>49</v>
      </c>
      <c r="E9" s="243"/>
      <c r="F9" s="243"/>
      <c r="H9" s="220">
        <v>269.08292147171898</v>
      </c>
      <c r="I9" s="45"/>
      <c r="J9" s="122"/>
      <c r="K9" s="122"/>
      <c r="L9" s="122"/>
      <c r="M9" s="26" t="s">
        <v>48</v>
      </c>
      <c r="N9" s="22"/>
      <c r="O9" s="88"/>
      <c r="Q9" s="91" t="s">
        <v>39</v>
      </c>
      <c r="R9" s="97"/>
      <c r="S9" s="221">
        <v>0.1</v>
      </c>
      <c r="T9" s="123">
        <f>S9</f>
        <v>0.1</v>
      </c>
      <c r="U9" s="123">
        <f t="shared" ref="U9:W9" si="0">T9</f>
        <v>0.1</v>
      </c>
      <c r="V9" s="123">
        <f t="shared" si="0"/>
        <v>0.1</v>
      </c>
      <c r="W9" s="123">
        <f t="shared" si="0"/>
        <v>0.1</v>
      </c>
    </row>
    <row r="10" spans="1:23" s="91" customFormat="1" ht="12.6" customHeight="1" x14ac:dyDescent="0.3">
      <c r="D10" s="91" t="s">
        <v>7</v>
      </c>
      <c r="E10" s="245" t="s">
        <v>50</v>
      </c>
      <c r="F10" s="245"/>
      <c r="G10" s="97"/>
      <c r="H10" s="124"/>
      <c r="I10" s="214">
        <v>600</v>
      </c>
      <c r="J10" s="12">
        <f>IFERROR(IF(N8=TRUE,((I10/I16*(I16+J11))-I10)/(1-I10/I16),""),"")</f>
        <v>441.64445894482748</v>
      </c>
      <c r="K10" s="12">
        <f>IFERROR(IF(N8=TRUE,(((J16+K12)*(I10/I16+J11/J16)  - (I10+J10+J11))  /  (1-(I10/I16+J11/J16)))  -K11,""),"")</f>
        <v>1016.3679353328179</v>
      </c>
      <c r="L10" s="45"/>
      <c r="M10" s="233">
        <v>1</v>
      </c>
      <c r="N10" s="22"/>
      <c r="O10" s="138"/>
      <c r="Q10" s="90" t="s">
        <v>62</v>
      </c>
      <c r="R10" s="97"/>
      <c r="S10" s="125">
        <f t="shared" ref="S10:V10" si="1">IFERROR(H$30*(1-S9),"")</f>
        <v>0.27469746237135867</v>
      </c>
      <c r="T10" s="125">
        <f t="shared" si="1"/>
        <v>1.6481847742281519</v>
      </c>
      <c r="U10" s="125">
        <f t="shared" si="1"/>
        <v>1.740822240830207</v>
      </c>
      <c r="V10" s="125">
        <f t="shared" si="1"/>
        <v>1.8635245748920088</v>
      </c>
      <c r="W10" s="125">
        <f>IFERROR(L$30*(1-W9),"")</f>
        <v>1.8911488495123734</v>
      </c>
    </row>
    <row r="11" spans="1:23" s="91" customFormat="1" ht="12.6" customHeight="1" x14ac:dyDescent="0.3">
      <c r="D11" s="91" t="s">
        <v>8</v>
      </c>
      <c r="E11" s="245"/>
      <c r="F11" s="245"/>
      <c r="G11" s="97"/>
      <c r="H11" s="124"/>
      <c r="I11" s="126"/>
      <c r="J11" s="218">
        <v>700</v>
      </c>
      <c r="K11" s="12">
        <f>IFERROR(IF(N8=TRUE,(((J16+K12)*(I10/I16+J11/J16)  - (I10+J10+J11))  /  (1-(I10/I16+J11/J16)))  /  ((I10/I16)/(J11/J16)+1),""),"")</f>
        <v>634.67069666897794</v>
      </c>
      <c r="L11" s="45"/>
      <c r="M11" s="231">
        <v>1.2</v>
      </c>
      <c r="N11" s="22"/>
      <c r="O11" s="138"/>
      <c r="Q11" s="83" t="s">
        <v>116</v>
      </c>
      <c r="R11" s="105"/>
      <c r="S11" s="31" cm="1">
        <f t="array" ref="S11">IFERROR(SUMPRODUCT(($S10:S10&lt;H$30)*$S8:S8*(1-$S10:S10/H$30)),"")</f>
        <v>3.9999999999999947</v>
      </c>
      <c r="T11" s="31" cm="1">
        <f t="array" ref="T11">IFERROR(SUMPRODUCT(($S10:T10&lt;I$30)*$S8:T8*(1-$S10:T10/I$30)),"")</f>
        <v>38</v>
      </c>
      <c r="U11" s="31" cm="1">
        <f t="array" ref="U11">IFERROR(SUMPRODUCT(($S10:U10&lt;J$30)*$S8:U8*(1-$S10:U10/J$30)),"")</f>
        <v>44.235020616137568</v>
      </c>
      <c r="V11" s="31" cm="1">
        <f t="array" ref="V11">IFERROR(SUMPRODUCT(($S10:V10&lt;K$30)*$S8:V8*(1-$S10:V10/K$30)),"")</f>
        <v>53.22370707393916</v>
      </c>
      <c r="W11" s="31" cm="1">
        <f t="array" ref="W11">IFERROR(SUMPRODUCT(($S10:W10&lt;L$30)*$S8:W8*(1-$S10:W10/L$30)),"")</f>
        <v>58.783403255175514</v>
      </c>
    </row>
    <row r="12" spans="1:23" s="91" customFormat="1" ht="12.6" customHeight="1" x14ac:dyDescent="0.3">
      <c r="B12" s="88"/>
      <c r="C12" s="88"/>
      <c r="D12" s="87" t="s">
        <v>9</v>
      </c>
      <c r="E12" s="216"/>
      <c r="F12" s="216"/>
      <c r="G12" s="98"/>
      <c r="H12" s="124"/>
      <c r="I12" s="124"/>
      <c r="J12" s="124"/>
      <c r="K12" s="222">
        <v>850</v>
      </c>
      <c r="L12" s="126"/>
      <c r="M12" s="232">
        <v>1</v>
      </c>
      <c r="N12" s="22"/>
      <c r="O12" s="138"/>
      <c r="Q12" s="83" t="s">
        <v>117</v>
      </c>
      <c r="R12" s="84"/>
      <c r="S12" s="31">
        <f t="shared" ref="S12:V12" si="2">IFERROR(S11*H$30,"")</f>
        <v>1.2208776105393702</v>
      </c>
      <c r="T12" s="31">
        <f t="shared" si="2"/>
        <v>69.590023800744191</v>
      </c>
      <c r="U12" s="31">
        <f t="shared" si="2"/>
        <v>85.561453013505556</v>
      </c>
      <c r="V12" s="31">
        <f t="shared" si="2"/>
        <v>110.20409566571031</v>
      </c>
      <c r="W12" s="31">
        <f>IFERROR(W11*L$30,"")</f>
        <v>123.52018381827452</v>
      </c>
    </row>
    <row r="13" spans="1:23" s="91" customFormat="1" ht="12.6" customHeight="1" x14ac:dyDescent="0.3">
      <c r="B13" s="88"/>
      <c r="C13" s="88"/>
      <c r="D13" s="244" t="s">
        <v>37</v>
      </c>
      <c r="E13" s="244"/>
      <c r="F13" s="244"/>
      <c r="H13" s="218">
        <v>50</v>
      </c>
      <c r="I13" s="224">
        <v>50</v>
      </c>
      <c r="J13" s="217">
        <v>50</v>
      </c>
      <c r="K13" s="217">
        <v>50</v>
      </c>
      <c r="L13" s="218">
        <v>50</v>
      </c>
      <c r="M13" s="27"/>
      <c r="N13" s="22"/>
      <c r="O13" s="89"/>
      <c r="S13" s="97"/>
      <c r="T13" s="97"/>
      <c r="U13" s="97"/>
      <c r="V13" s="97"/>
      <c r="W13" s="97"/>
    </row>
    <row r="14" spans="1:23" s="91" customFormat="1" ht="12.6" customHeight="1" x14ac:dyDescent="0.3">
      <c r="D14" s="242" t="s">
        <v>58</v>
      </c>
      <c r="E14" s="242"/>
      <c r="F14" s="242"/>
      <c r="H14" s="126"/>
      <c r="I14" s="127">
        <f>IFERROR(S25/MIN(I30*(1-S26),S27/H16),"")</f>
        <v>81.908292147171892</v>
      </c>
      <c r="J14" s="127">
        <f>IFERROR(T25/MIN(J30*(1-T26),T27/I16),"")</f>
        <v>155.09912136188908</v>
      </c>
      <c r="K14" s="127">
        <f>IFERROR(U25/MIN(K30*(1-U26),U27/J16),"")</f>
        <v>271.66263693052571</v>
      </c>
      <c r="L14" s="12">
        <f>IFERROR(V25/MIN(L30*(1-V26),V27/K16),"")</f>
        <v>536.29088089293077</v>
      </c>
      <c r="M14" s="27"/>
      <c r="N14" s="22"/>
      <c r="O14" s="89"/>
    </row>
    <row r="15" spans="1:23" s="91" customFormat="1" ht="12.6" customHeight="1" x14ac:dyDescent="0.4">
      <c r="D15" s="240" t="s">
        <v>57</v>
      </c>
      <c r="E15" s="240"/>
      <c r="F15" s="240"/>
      <c r="G15" s="22"/>
      <c r="H15" s="128"/>
      <c r="I15" s="128"/>
      <c r="J15" s="128"/>
      <c r="K15" s="128"/>
      <c r="L15" s="225">
        <v>1200</v>
      </c>
      <c r="M15" s="27"/>
      <c r="N15" s="22"/>
      <c r="O15" s="89"/>
      <c r="P15" s="239" t="s">
        <v>91</v>
      </c>
      <c r="Q15" s="239"/>
    </row>
    <row r="16" spans="1:23" s="91" customFormat="1" x14ac:dyDescent="0.3">
      <c r="D16" s="248" t="s">
        <v>41</v>
      </c>
      <c r="E16" s="248"/>
      <c r="F16" s="170"/>
      <c r="H16" s="92">
        <f>SUM(H8:H15)</f>
        <v>819.08292147171892</v>
      </c>
      <c r="I16" s="92">
        <f>H16+SUM(I8:I15)</f>
        <v>1550.9912136188909</v>
      </c>
      <c r="J16" s="92">
        <f>IFERROR(I16+SUM(J8:J15),"")</f>
        <v>2897.7347939256074</v>
      </c>
      <c r="K16" s="92">
        <f>J16+SUM(K8:K15)</f>
        <v>5720.4360628579288</v>
      </c>
      <c r="L16" s="92">
        <f>K16+SUM(L8:L15)</f>
        <v>7506.7269437508594</v>
      </c>
      <c r="N16" s="22"/>
      <c r="O16" s="89"/>
      <c r="Q16" s="91" t="s">
        <v>63</v>
      </c>
      <c r="S16" s="226">
        <v>25</v>
      </c>
      <c r="T16" s="217">
        <v>25</v>
      </c>
      <c r="U16" s="218">
        <v>25</v>
      </c>
      <c r="V16" s="219">
        <v>25</v>
      </c>
      <c r="W16" s="219">
        <v>25</v>
      </c>
    </row>
    <row r="17" spans="2:23" s="91" customFormat="1" ht="12.6" customHeight="1" x14ac:dyDescent="0.3">
      <c r="D17" s="93" t="s">
        <v>80</v>
      </c>
      <c r="E17" s="93"/>
      <c r="F17" s="93"/>
      <c r="G17" s="99"/>
      <c r="H17" s="106">
        <f>H16</f>
        <v>819.08292147171892</v>
      </c>
      <c r="I17" s="106">
        <f>IF(I16=0,"",I16)</f>
        <v>1550.9912136188909</v>
      </c>
      <c r="J17" s="106">
        <f>IFERROR(IF(J16=0,"",J16),"")</f>
        <v>2897.7347939256074</v>
      </c>
      <c r="K17" s="106">
        <f>SUM(H8:H9,H13:K14)  +  I10*M10  +  SUM(J10,J11)*M11  +  SUM(K10,K11,K12)*M12</f>
        <v>5948.7649546468947</v>
      </c>
      <c r="L17" s="106">
        <f>K17+SUM(L13:L15)</f>
        <v>7735.0558355398252</v>
      </c>
      <c r="N17" s="22"/>
      <c r="O17" s="89"/>
      <c r="Q17" s="91" t="s">
        <v>39</v>
      </c>
      <c r="R17" s="97"/>
      <c r="S17" s="227">
        <v>0.12</v>
      </c>
      <c r="T17" s="123">
        <f>S17</f>
        <v>0.12</v>
      </c>
      <c r="U17" s="123">
        <f t="shared" ref="U17:W17" si="3">T17</f>
        <v>0.12</v>
      </c>
      <c r="V17" s="123">
        <f t="shared" si="3"/>
        <v>0.12</v>
      </c>
      <c r="W17" s="129">
        <f t="shared" si="3"/>
        <v>0.12</v>
      </c>
    </row>
    <row r="18" spans="2:23" s="91" customFormat="1" ht="12.6" customHeight="1" x14ac:dyDescent="0.3">
      <c r="H18" s="97"/>
      <c r="I18" s="144"/>
      <c r="J18" s="97"/>
      <c r="K18" s="97"/>
      <c r="L18" s="97"/>
      <c r="N18" s="22"/>
      <c r="Q18" s="90" t="s">
        <v>62</v>
      </c>
      <c r="R18" s="97"/>
      <c r="S18" s="125">
        <f t="shared" ref="S18:V18" si="4">IFERROR(H$30*(1-S17),"")</f>
        <v>0.26859307431866181</v>
      </c>
      <c r="T18" s="125">
        <f t="shared" si="4"/>
        <v>1.6115584459119707</v>
      </c>
      <c r="U18" s="125">
        <f t="shared" si="4"/>
        <v>1.7021373021450912</v>
      </c>
      <c r="V18" s="125">
        <f t="shared" si="4"/>
        <v>1.8221129176721864</v>
      </c>
      <c r="W18" s="125">
        <f>IFERROR(L$30*(1-W17),"")</f>
        <v>1.8491233195232095</v>
      </c>
    </row>
    <row r="19" spans="2:23" s="91" customFormat="1" ht="12.6" customHeight="1" x14ac:dyDescent="0.3">
      <c r="I19" s="95"/>
      <c r="N19" s="22"/>
      <c r="Q19" s="83" t="s">
        <v>116</v>
      </c>
      <c r="R19" s="105"/>
      <c r="S19" s="31" cm="1">
        <f t="array" ref="S19">IFERROR(SUMPRODUCT(($S18:S18&lt;H$30)*$S16:S16*(1-$S18:S18/H$30)),"")</f>
        <v>2.9999999999999973</v>
      </c>
      <c r="T19" s="31" cm="1">
        <f t="array" ref="T19">IFERROR(SUMPRODUCT(($S18:T18&lt;I$30)*$S16:T16*(1-$S18:T18/I$30)),"")</f>
        <v>24.333333333333332</v>
      </c>
      <c r="U19" s="31" cm="1">
        <f t="array" ref="U19">IFERROR(SUMPRODUCT(($S18:U18&lt;J$30)*$S16:U16*(1-$S18:U18/J$30)),"")</f>
        <v>28.699179265417403</v>
      </c>
      <c r="V19" s="31" cm="1">
        <f t="array" ref="V19">IFERROR(SUMPRODUCT(($S18:V18&lt;K$30)*$S16:V16*(1-$S18:V18/K$30)),"")</f>
        <v>34.747820989629481</v>
      </c>
      <c r="W19" s="31" cm="1">
        <f t="array" ref="W19">IFERROR(SUMPRODUCT(($S18:W18&lt;L$30)*$S16:W16*(1-$S18:W18/L$30)),"")</f>
        <v>38.700968655940592</v>
      </c>
    </row>
    <row r="20" spans="2:23" s="91" customFormat="1" ht="12.6" customHeight="1" x14ac:dyDescent="0.4">
      <c r="C20" s="239" t="s">
        <v>89</v>
      </c>
      <c r="D20" s="239"/>
      <c r="E20" s="239"/>
      <c r="F20" s="239"/>
      <c r="G20" s="119"/>
      <c r="N20" s="22"/>
      <c r="Q20" s="142" t="s">
        <v>117</v>
      </c>
      <c r="R20" s="143"/>
      <c r="S20" s="31">
        <f t="shared" ref="S20:V20" si="5">IFERROR(S19*H$30,"")</f>
        <v>0.91565820790452801</v>
      </c>
      <c r="T20" s="31">
        <f t="shared" si="5"/>
        <v>44.562032784687062</v>
      </c>
      <c r="U20" s="31">
        <f t="shared" si="5"/>
        <v>55.511299509790817</v>
      </c>
      <c r="V20" s="31">
        <f t="shared" si="5"/>
        <v>71.94824259791433</v>
      </c>
      <c r="W20" s="31">
        <f>IFERROR(W19*L$30,"")</f>
        <v>81.321435942996075</v>
      </c>
    </row>
    <row r="21" spans="2:23" s="91" customFormat="1" x14ac:dyDescent="0.3">
      <c r="D21" s="243" t="s">
        <v>5</v>
      </c>
      <c r="E21" s="243"/>
      <c r="F21" s="243"/>
      <c r="H21" s="130"/>
      <c r="I21" s="214">
        <v>1500</v>
      </c>
      <c r="J21" s="217">
        <v>3000</v>
      </c>
      <c r="K21" s="217">
        <v>6000</v>
      </c>
      <c r="L21" s="218">
        <v>12500</v>
      </c>
      <c r="M21" s="22"/>
      <c r="N21" s="22"/>
      <c r="O21" s="88"/>
      <c r="S21" s="95"/>
      <c r="T21" s="95"/>
      <c r="U21" s="95"/>
      <c r="V21" s="95"/>
      <c r="W21" s="95"/>
    </row>
    <row r="22" spans="2:23" s="91" customFormat="1" ht="12.6" customHeight="1" x14ac:dyDescent="0.3">
      <c r="C22" s="88"/>
      <c r="D22" s="244" t="s">
        <v>10</v>
      </c>
      <c r="E22" s="244"/>
      <c r="F22" s="244"/>
      <c r="H22" s="213">
        <v>50</v>
      </c>
      <c r="I22" s="45"/>
      <c r="J22" s="45"/>
      <c r="K22" s="45"/>
      <c r="L22" s="45"/>
      <c r="M22" s="26"/>
      <c r="N22" s="22"/>
      <c r="O22" s="52"/>
    </row>
    <row r="23" spans="2:23" s="91" customFormat="1" ht="12.6" customHeight="1" x14ac:dyDescent="0.3">
      <c r="C23" s="88"/>
      <c r="D23" s="243" t="s">
        <v>49</v>
      </c>
      <c r="E23" s="243"/>
      <c r="F23" s="243"/>
      <c r="H23" s="220">
        <v>200</v>
      </c>
      <c r="I23" s="122"/>
      <c r="J23" s="122"/>
      <c r="K23" s="122"/>
      <c r="L23" s="122"/>
      <c r="M23" s="131" t="s">
        <v>74</v>
      </c>
      <c r="N23" s="22"/>
      <c r="O23" s="22"/>
      <c r="P23" s="238" t="s">
        <v>112</v>
      </c>
      <c r="Q23" s="238"/>
      <c r="R23" s="238"/>
      <c r="S23" s="238"/>
    </row>
    <row r="24" spans="2:23" s="91" customFormat="1" ht="12.6" customHeight="1" x14ac:dyDescent="0.4">
      <c r="C24" s="88"/>
      <c r="D24" s="249" t="s">
        <v>7</v>
      </c>
      <c r="E24" s="249"/>
      <c r="F24" s="249"/>
      <c r="G24" s="22"/>
      <c r="H24" s="45"/>
      <c r="I24" s="139">
        <f>IFERROR(I10*I30,"")</f>
        <v>1098.7898494854346</v>
      </c>
      <c r="J24" s="139">
        <f>IFERROR(J10*J30,"")</f>
        <v>854.24944074508767</v>
      </c>
      <c r="K24" s="139">
        <f>IFERROR(K10*K30,"")</f>
        <v>2104.4740273610646</v>
      </c>
      <c r="L24" s="12"/>
      <c r="M24" s="233">
        <v>1.1000000000000001</v>
      </c>
      <c r="N24" s="22"/>
      <c r="P24" s="239" t="s">
        <v>113</v>
      </c>
      <c r="Q24" s="239"/>
      <c r="R24" s="239"/>
      <c r="S24" s="239"/>
    </row>
    <row r="25" spans="2:23" s="91" customFormat="1" ht="12.6" customHeight="1" x14ac:dyDescent="0.3">
      <c r="C25" s="88"/>
      <c r="D25" s="242" t="s">
        <v>8</v>
      </c>
      <c r="E25" s="242"/>
      <c r="F25" s="242"/>
      <c r="H25" s="45"/>
      <c r="I25" s="12"/>
      <c r="J25" s="139">
        <f>IFERROR(J11*J30,"")</f>
        <v>1353.9728539790499</v>
      </c>
      <c r="K25" s="139">
        <f>IFERROR(K11*K30,"")</f>
        <v>1314.1382668960803</v>
      </c>
      <c r="L25" s="12"/>
      <c r="M25" s="231">
        <v>1</v>
      </c>
      <c r="N25" s="22"/>
      <c r="Q25" s="69" t="s">
        <v>75</v>
      </c>
      <c r="S25" s="213">
        <v>100</v>
      </c>
      <c r="T25" s="228">
        <v>100</v>
      </c>
      <c r="U25" s="228">
        <v>75</v>
      </c>
      <c r="V25" s="228">
        <v>75</v>
      </c>
      <c r="W25" s="97"/>
    </row>
    <row r="26" spans="2:23" s="91" customFormat="1" ht="12.6" customHeight="1" x14ac:dyDescent="0.3">
      <c r="C26" s="88"/>
      <c r="D26" s="243" t="s">
        <v>9</v>
      </c>
      <c r="E26" s="243"/>
      <c r="F26" s="243"/>
      <c r="H26" s="45"/>
      <c r="I26" s="12"/>
      <c r="J26" s="45"/>
      <c r="K26" s="139">
        <f>IFERROR(K12*K30,"")</f>
        <v>1759.9954318424529</v>
      </c>
      <c r="L26" s="12"/>
      <c r="M26" s="223">
        <v>1</v>
      </c>
      <c r="N26" s="22"/>
      <c r="O26" s="94"/>
      <c r="Q26" s="99" t="s">
        <v>76</v>
      </c>
      <c r="S26" s="229">
        <v>0.2</v>
      </c>
      <c r="T26" s="229">
        <v>0.2</v>
      </c>
      <c r="U26" s="229">
        <v>0.1</v>
      </c>
      <c r="V26" s="229">
        <v>0.1</v>
      </c>
      <c r="W26" s="97"/>
    </row>
    <row r="27" spans="2:23" s="91" customFormat="1" ht="12.6" customHeight="1" x14ac:dyDescent="0.3">
      <c r="D27" s="237" t="s">
        <v>58</v>
      </c>
      <c r="E27" s="237"/>
      <c r="F27" s="237"/>
      <c r="G27" s="95"/>
      <c r="H27" s="132"/>
      <c r="I27" s="132">
        <f>IF(S25&gt;0,S25,"")</f>
        <v>100</v>
      </c>
      <c r="J27" s="132">
        <f>IF(T25&gt;0,T25,"")</f>
        <v>100</v>
      </c>
      <c r="K27" s="132">
        <f>IF(U25&gt;0,U25,"")</f>
        <v>75</v>
      </c>
      <c r="L27" s="132">
        <f>IF(V25&gt;0,V25,"")</f>
        <v>75</v>
      </c>
      <c r="M27" s="12"/>
      <c r="N27" s="22"/>
      <c r="O27" s="89"/>
      <c r="Q27" s="99" t="s">
        <v>123</v>
      </c>
      <c r="S27" s="220">
        <v>1000</v>
      </c>
      <c r="T27" s="220">
        <v>1000</v>
      </c>
      <c r="U27" s="220">
        <v>800</v>
      </c>
      <c r="V27" s="220">
        <v>800</v>
      </c>
    </row>
    <row r="28" spans="2:23" s="91" customFormat="1" ht="12.6" customHeight="1" x14ac:dyDescent="0.3">
      <c r="D28" s="250" t="s">
        <v>57</v>
      </c>
      <c r="E28" s="250"/>
      <c r="F28" s="250"/>
      <c r="H28" s="128"/>
      <c r="I28" s="133"/>
      <c r="J28" s="133"/>
      <c r="K28" s="134"/>
      <c r="L28" s="140">
        <f>L15*L30</f>
        <v>2521.5317993498311</v>
      </c>
      <c r="M28" s="27"/>
      <c r="N28" s="22"/>
      <c r="W28" s="97"/>
    </row>
    <row r="29" spans="2:23" s="91" customFormat="1" ht="12.6" customHeight="1" x14ac:dyDescent="0.3">
      <c r="D29" s="248" t="s">
        <v>108</v>
      </c>
      <c r="E29" s="248"/>
      <c r="F29" s="248"/>
      <c r="G29" s="99"/>
      <c r="H29" s="135">
        <f>SUM(H21:H28)</f>
        <v>250</v>
      </c>
      <c r="I29" s="135">
        <f>SUM(I21:I28)</f>
        <v>2698.7898494854344</v>
      </c>
      <c r="J29" s="135">
        <f>SUM(J21:J28)</f>
        <v>5308.2222947241371</v>
      </c>
      <c r="K29" s="135">
        <f>SUM(K21:K28)</f>
        <v>11253.607726099597</v>
      </c>
      <c r="L29" s="135">
        <f>SUM(L21:L28)</f>
        <v>15096.531799349832</v>
      </c>
      <c r="M29" s="22"/>
      <c r="N29" s="22"/>
    </row>
    <row r="30" spans="2:23" ht="12.6" customHeight="1" x14ac:dyDescent="0.3">
      <c r="B30" s="4"/>
      <c r="C30" s="91"/>
      <c r="D30" s="83" t="s">
        <v>40</v>
      </c>
      <c r="E30" s="83"/>
      <c r="F30" s="120"/>
      <c r="G30" s="91"/>
      <c r="H30" s="136">
        <f>IFERROR(H29/H16,"")</f>
        <v>0.30521940263484293</v>
      </c>
      <c r="I30" s="136">
        <f>IFERROR(I21/H16,"")</f>
        <v>1.8313164158090576</v>
      </c>
      <c r="J30" s="136">
        <f>IFERROR(J21/I16,"")</f>
        <v>1.9342469342557855</v>
      </c>
      <c r="K30" s="136">
        <f>IFERROR(K21/J16,"")</f>
        <v>2.070582860991121</v>
      </c>
      <c r="L30" s="136">
        <f>L21/K17</f>
        <v>2.1012764994581925</v>
      </c>
      <c r="M30" s="22"/>
      <c r="N30" s="22"/>
    </row>
  </sheetData>
  <sheetProtection algorithmName="SHA-512" hashValue="dGTxhSirt5JzufzXJlpNhnhI8w32PsoEpNciDoDjCI0avqMAcDph5jaaIVpYwzvSBWMuscK4kQAjJKiE8ErCAA==" saltValue="B0ZJNoT9axhh6zHL8wqFmA==" spinCount="100000" sheet="1" objects="1" scenarios="1" selectLockedCells="1"/>
  <mergeCells count="29">
    <mergeCell ref="J6:J7"/>
    <mergeCell ref="K6:K7"/>
    <mergeCell ref="D29:F29"/>
    <mergeCell ref="P24:S24"/>
    <mergeCell ref="D16:E16"/>
    <mergeCell ref="C20:F20"/>
    <mergeCell ref="D21:F21"/>
    <mergeCell ref="D22:F22"/>
    <mergeCell ref="D23:F23"/>
    <mergeCell ref="D24:F24"/>
    <mergeCell ref="D25:F25"/>
    <mergeCell ref="D26:F26"/>
    <mergeCell ref="D28:F28"/>
    <mergeCell ref="U3:W3"/>
    <mergeCell ref="D27:F27"/>
    <mergeCell ref="P23:S23"/>
    <mergeCell ref="P15:Q15"/>
    <mergeCell ref="P7:Q7"/>
    <mergeCell ref="D15:F15"/>
    <mergeCell ref="C3:E3"/>
    <mergeCell ref="C7:E7"/>
    <mergeCell ref="D8:F8"/>
    <mergeCell ref="D9:F9"/>
    <mergeCell ref="D13:F13"/>
    <mergeCell ref="D14:F14"/>
    <mergeCell ref="E10:F11"/>
    <mergeCell ref="L6:L7"/>
    <mergeCell ref="H6:H7"/>
    <mergeCell ref="I6:I7"/>
  </mergeCells>
  <printOptions horizontalCentered="1"/>
  <pageMargins left="0.5" right="0.5" top="0.75" bottom="0.75" header="0.3" footer="0.3"/>
  <pageSetup scale="95" orientation="landscape" r:id="rId1"/>
  <headerFooter scaleWithDoc="0" alignWithMargins="0">
    <oddFooter>&amp;L&amp;10Fundraising Drivers&amp;R&amp;10Updated 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1" r:id="rId4" name="Check Box 31">
              <controlPr defaultSize="0" autoFill="0" autoLine="0" autoPict="0">
                <anchor moveWithCells="1">
                  <from>
                    <xdr:col>4</xdr:col>
                    <xdr:colOff>106680</xdr:colOff>
                    <xdr:row>10</xdr:row>
                    <xdr:rowOff>60960</xdr:rowOff>
                  </from>
                  <to>
                    <xdr:col>5</xdr:col>
                    <xdr:colOff>15240</xdr:colOff>
                    <xdr:row>11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7C339-3AC1-4FA3-B82C-AC29240C4A1D}">
  <sheetPr>
    <tabColor theme="8" tint="0.79998168889431442"/>
    <pageSetUpPr fitToPage="1"/>
  </sheetPr>
  <dimension ref="A1:V29"/>
  <sheetViews>
    <sheetView showGridLines="0" showRowColHeaders="0" zoomScaleNormal="100" workbookViewId="0"/>
  </sheetViews>
  <sheetFormatPr defaultColWidth="10" defaultRowHeight="13.8" x14ac:dyDescent="0.3"/>
  <cols>
    <col min="1" max="1" width="3" style="2" customWidth="1"/>
    <col min="2" max="2" width="3.33203125" style="2" customWidth="1"/>
    <col min="3" max="3" width="0.88671875" style="2" customWidth="1"/>
    <col min="4" max="4" width="13.77734375" style="1" customWidth="1"/>
    <col min="5" max="5" width="2.21875" style="1" customWidth="1"/>
    <col min="6" max="9" width="8.88671875" style="11" customWidth="1"/>
    <col min="10" max="10" width="8.88671875" style="4" customWidth="1"/>
    <col min="11" max="11" width="5" style="1" customWidth="1"/>
    <col min="12" max="16" width="8.88671875" style="4" customWidth="1"/>
    <col min="17" max="17" width="5" style="1" customWidth="1"/>
    <col min="18" max="22" width="8.88671875" style="4" customWidth="1"/>
    <col min="23" max="16384" width="10" style="4"/>
  </cols>
  <sheetData>
    <row r="1" spans="1:22" s="8" customFormat="1" ht="10.199999999999999" x14ac:dyDescent="0.2">
      <c r="A1" s="13" t="s">
        <v>4</v>
      </c>
      <c r="B1" s="7"/>
      <c r="C1" s="7"/>
      <c r="D1" s="7"/>
      <c r="E1" s="7"/>
      <c r="F1" s="9"/>
      <c r="G1" s="9"/>
      <c r="H1" s="9"/>
      <c r="I1" s="9"/>
      <c r="J1" s="9"/>
    </row>
    <row r="2" spans="1:22" s="3" customFormat="1" ht="9" customHeight="1" x14ac:dyDescent="0.45">
      <c r="D2" s="18"/>
      <c r="H2" s="20"/>
      <c r="I2" s="20"/>
      <c r="L2" s="21"/>
      <c r="M2" s="21"/>
      <c r="N2" s="21"/>
      <c r="O2" s="21"/>
      <c r="P2" s="21"/>
    </row>
    <row r="3" spans="1:22" s="3" customFormat="1" ht="20.399999999999999" x14ac:dyDescent="0.45">
      <c r="C3" s="18" t="s">
        <v>38</v>
      </c>
      <c r="H3" s="20"/>
      <c r="I3" s="20"/>
      <c r="L3" s="21"/>
      <c r="M3" s="21"/>
      <c r="N3" s="21"/>
      <c r="O3" s="21"/>
      <c r="P3" s="21"/>
      <c r="U3" s="230"/>
      <c r="V3" s="230"/>
    </row>
    <row r="4" spans="1:22" s="2" customFormat="1" ht="12.6" x14ac:dyDescent="0.25">
      <c r="C4" s="14" t="s">
        <v>11</v>
      </c>
      <c r="F4" s="5"/>
    </row>
    <row r="5" spans="1:22" s="8" customFormat="1" ht="12.6" customHeight="1" x14ac:dyDescent="0.25">
      <c r="D5" s="9"/>
      <c r="E5" s="9"/>
      <c r="F5" s="9"/>
      <c r="G5" s="9"/>
      <c r="H5" s="9"/>
      <c r="I5" s="9"/>
      <c r="J5" s="9"/>
      <c r="K5" s="9"/>
      <c r="L5" s="100"/>
      <c r="M5" s="9"/>
      <c r="N5" s="100"/>
    </row>
    <row r="6" spans="1:22" s="81" customFormat="1" ht="12.6" customHeight="1" x14ac:dyDescent="0.4">
      <c r="D6" s="83"/>
      <c r="E6" s="84"/>
      <c r="F6" s="251" t="s">
        <v>88</v>
      </c>
      <c r="G6" s="251"/>
      <c r="H6" s="251"/>
      <c r="I6" s="251"/>
      <c r="J6" s="251"/>
      <c r="K6" s="84"/>
      <c r="L6" s="251" t="s">
        <v>93</v>
      </c>
      <c r="M6" s="251"/>
      <c r="N6" s="251"/>
      <c r="O6" s="251"/>
      <c r="P6" s="251"/>
      <c r="Q6" s="84"/>
      <c r="R6" s="251" t="s">
        <v>94</v>
      </c>
      <c r="S6" s="251"/>
      <c r="T6" s="251"/>
      <c r="U6" s="251"/>
      <c r="V6" s="251"/>
    </row>
    <row r="7" spans="1:22" s="17" customFormat="1" ht="13.8" customHeight="1" x14ac:dyDescent="0.3">
      <c r="E7" s="25"/>
      <c r="F7" s="16" t="s">
        <v>6</v>
      </c>
      <c r="G7" s="16" t="s">
        <v>0</v>
      </c>
      <c r="H7" s="16" t="s">
        <v>1</v>
      </c>
      <c r="I7" s="16" t="s">
        <v>2</v>
      </c>
      <c r="J7" s="16" t="s">
        <v>3</v>
      </c>
      <c r="K7" s="104"/>
      <c r="L7" s="16" t="s">
        <v>6</v>
      </c>
      <c r="M7" s="16" t="s">
        <v>0</v>
      </c>
      <c r="N7" s="16" t="s">
        <v>1</v>
      </c>
      <c r="O7" s="16" t="s">
        <v>2</v>
      </c>
      <c r="P7" s="16" t="s">
        <v>3</v>
      </c>
      <c r="Q7" s="104"/>
      <c r="R7" s="16" t="s">
        <v>6</v>
      </c>
      <c r="S7" s="16" t="s">
        <v>0</v>
      </c>
      <c r="T7" s="16" t="s">
        <v>1</v>
      </c>
      <c r="U7" s="16" t="s">
        <v>2</v>
      </c>
      <c r="V7" s="16" t="s">
        <v>3</v>
      </c>
    </row>
    <row r="8" spans="1:22" s="81" customFormat="1" ht="12.6" customHeight="1" x14ac:dyDescent="0.3">
      <c r="D8" s="88" t="s">
        <v>10</v>
      </c>
      <c r="E8" s="88"/>
      <c r="F8" s="51">
        <f>SUM(Funding!$H8:H8)</f>
        <v>500</v>
      </c>
      <c r="G8" s="51">
        <f>SUM(Funding!$H8:I8)</f>
        <v>500</v>
      </c>
      <c r="H8" s="51">
        <f>SUM(Funding!$H8:J8)</f>
        <v>500</v>
      </c>
      <c r="I8" s="51">
        <f>SUM(Funding!$H8:K8)</f>
        <v>500</v>
      </c>
      <c r="J8" s="51">
        <f>IFERROR(SUM(Funding!$H8:L8),"")</f>
        <v>500</v>
      </c>
      <c r="K8" s="52"/>
      <c r="L8" s="53">
        <f t="shared" ref="L8:O9" si="0">F8/F$20</f>
        <v>0.60526611433779365</v>
      </c>
      <c r="M8" s="53">
        <f t="shared" si="0"/>
        <v>0.30991904322323971</v>
      </c>
      <c r="N8" s="53">
        <f t="shared" si="0"/>
        <v>0.16831225594043986</v>
      </c>
      <c r="O8" s="53">
        <f t="shared" si="0"/>
        <v>8.6082113242448174E-2</v>
      </c>
      <c r="P8" s="53">
        <f t="shared" ref="P8:P15" si="1">IFERROR(J8/J$20,"")</f>
        <v>6.3836250661612928E-2</v>
      </c>
      <c r="Q8" s="52"/>
      <c r="R8" s="51">
        <f>IFERROR(F8*Funding!H$30,"")</f>
        <v>152.60970131742147</v>
      </c>
      <c r="S8" s="51">
        <f>IFERROR(G8*Funding!I$30,"")</f>
        <v>915.65820790452881</v>
      </c>
      <c r="T8" s="51">
        <f>IFERROR(H8*Funding!J$30,"")</f>
        <v>967.12346712789281</v>
      </c>
      <c r="U8" s="51">
        <f>IFERROR(I8*Funding!K$30,"")</f>
        <v>1035.2914304955605</v>
      </c>
      <c r="V8" s="51">
        <f>IFERROR(J8*Funding!L$30,"")</f>
        <v>1050.6382497290963</v>
      </c>
    </row>
    <row r="9" spans="1:22" s="81" customFormat="1" ht="12.6" customHeight="1" x14ac:dyDescent="0.3">
      <c r="D9" s="87" t="s">
        <v>49</v>
      </c>
      <c r="E9" s="88"/>
      <c r="F9" s="54">
        <f>SUM(Funding!$H9:H9)</f>
        <v>269.08292147171898</v>
      </c>
      <c r="G9" s="54">
        <f>SUM(Funding!$H9:I9)</f>
        <v>269.08292147171898</v>
      </c>
      <c r="H9" s="54">
        <f>SUM(Funding!$H9:J9)</f>
        <v>269.08292147171898</v>
      </c>
      <c r="I9" s="54">
        <f>SUM(Funding!$H9:K9)</f>
        <v>269.08292147171898</v>
      </c>
      <c r="J9" s="54">
        <f>IFERROR(SUM(Funding!$H9:L9),"")</f>
        <v>269.08292147171898</v>
      </c>
      <c r="K9" s="52"/>
      <c r="L9" s="55">
        <f t="shared" si="0"/>
        <v>0.32573354862769799</v>
      </c>
      <c r="M9" s="55">
        <f t="shared" si="0"/>
        <v>0.16678784314045858</v>
      </c>
      <c r="N9" s="55">
        <f t="shared" si="0"/>
        <v>9.0579907095898485E-2</v>
      </c>
      <c r="O9" s="55">
        <f t="shared" si="0"/>
        <v>4.6326453035474606E-2</v>
      </c>
      <c r="P9" s="55">
        <f t="shared" si="1"/>
        <v>3.4354489647655521E-2</v>
      </c>
      <c r="Q9" s="52"/>
      <c r="R9" s="54">
        <f>IFERROR(F9*Funding!H$30,"")</f>
        <v>82.129328550836419</v>
      </c>
      <c r="S9" s="54">
        <f>IFERROR(G9*Funding!I$30,"")</f>
        <v>492.77597130501852</v>
      </c>
      <c r="T9" s="54">
        <f>IFERROR(H9*Funding!J$30,"")</f>
        <v>520.47281591726266</v>
      </c>
      <c r="U9" s="54">
        <f>IFERROR(I9*Funding!K$30,"")</f>
        <v>557.15848538476098</v>
      </c>
      <c r="V9" s="54">
        <f>IFERROR(J9*Funding!L$30,"")</f>
        <v>565.41761929407733</v>
      </c>
    </row>
    <row r="10" spans="1:22" s="81" customFormat="1" ht="12.6" customHeight="1" x14ac:dyDescent="0.3">
      <c r="D10" s="88" t="s">
        <v>7</v>
      </c>
      <c r="E10" s="88"/>
      <c r="F10" s="56"/>
      <c r="G10" s="51">
        <f>SUM(Funding!$H10:I10)</f>
        <v>600</v>
      </c>
      <c r="H10" s="51">
        <f>SUM(Funding!$H10:J10)</f>
        <v>1041.6444589448274</v>
      </c>
      <c r="I10" s="51">
        <f>SUM(Funding!$H10:K10)</f>
        <v>2058.0123942776454</v>
      </c>
      <c r="J10" s="51">
        <f>IFERROR(SUM(Funding!$H10:L10,J23),"")</f>
        <v>2146.3412860666108</v>
      </c>
      <c r="K10" s="52"/>
      <c r="L10" s="57"/>
      <c r="M10" s="53">
        <f>G10/G$20</f>
        <v>0.37190285186788768</v>
      </c>
      <c r="N10" s="53">
        <f>H10/H$20</f>
        <v>0.35064305754572556</v>
      </c>
      <c r="O10" s="53">
        <f>I10/I$20</f>
        <v>0.35431611195714036</v>
      </c>
      <c r="P10" s="53">
        <f t="shared" si="1"/>
        <v>0.27402876068543364</v>
      </c>
      <c r="Q10" s="52"/>
      <c r="R10" s="56"/>
      <c r="S10" s="51">
        <f>IFERROR(G10*Funding!I$30,"")</f>
        <v>1098.7898494854346</v>
      </c>
      <c r="T10" s="51">
        <f>IFERROR(H10*Funding!J$30,"")</f>
        <v>2014.7976012985589</v>
      </c>
      <c r="U10" s="51">
        <f>IFERROR(I10*Funding!K$30,"")</f>
        <v>4261.2851912985943</v>
      </c>
      <c r="V10" s="51">
        <f>IFERROR(J10*Funding!L$30,"")</f>
        <v>4510.0565042286426</v>
      </c>
    </row>
    <row r="11" spans="1:22" s="81" customFormat="1" ht="12.6" customHeight="1" x14ac:dyDescent="0.3">
      <c r="D11" s="88" t="s">
        <v>8</v>
      </c>
      <c r="E11" s="88"/>
      <c r="F11" s="56"/>
      <c r="G11" s="56"/>
      <c r="H11" s="51">
        <f>SUM(Funding!$H11:J11)</f>
        <v>700</v>
      </c>
      <c r="I11" s="51">
        <f>SUM(Funding!$H11:K11)</f>
        <v>1334.6706966689781</v>
      </c>
      <c r="J11" s="51">
        <f>IFERROR(SUM(Funding!$H11:L11,J24),"")</f>
        <v>1474.6706966689781</v>
      </c>
      <c r="K11" s="52"/>
      <c r="L11" s="57"/>
      <c r="M11" s="57"/>
      <c r="N11" s="53">
        <f>H11/H$20</f>
        <v>0.23563715831661577</v>
      </c>
      <c r="O11" s="53">
        <f>I11/I$20</f>
        <v>0.22978254810407234</v>
      </c>
      <c r="P11" s="53">
        <f t="shared" si="1"/>
        <v>0.18827489647179249</v>
      </c>
      <c r="Q11" s="52"/>
      <c r="R11" s="56"/>
      <c r="S11" s="56"/>
      <c r="T11" s="51">
        <f>IFERROR(H11*Funding!J$30,"")</f>
        <v>1353.9728539790499</v>
      </c>
      <c r="U11" s="51">
        <f>IFERROR(I11*Funding!K$30,"")</f>
        <v>2763.546269589865</v>
      </c>
      <c r="V11" s="51">
        <f>IFERROR(J11*Funding!L$30,"")</f>
        <v>3098.6908793501643</v>
      </c>
    </row>
    <row r="12" spans="1:22" s="81" customFormat="1" ht="12.6" customHeight="1" x14ac:dyDescent="0.3">
      <c r="D12" s="87" t="s">
        <v>9</v>
      </c>
      <c r="E12" s="89"/>
      <c r="F12" s="58"/>
      <c r="G12" s="58"/>
      <c r="H12" s="58"/>
      <c r="I12" s="54">
        <f>SUM(Funding!$H12:K12)</f>
        <v>850</v>
      </c>
      <c r="J12" s="54">
        <f>IFERROR(SUM(Funding!$H12:L12,J25),"")</f>
        <v>850</v>
      </c>
      <c r="K12" s="59"/>
      <c r="L12" s="60"/>
      <c r="M12" s="60"/>
      <c r="N12" s="60"/>
      <c r="O12" s="55">
        <f t="shared" ref="O12:O14" si="2">I12/I$20</f>
        <v>0.14633959251216191</v>
      </c>
      <c r="P12" s="55">
        <f t="shared" si="1"/>
        <v>0.10852162612474198</v>
      </c>
      <c r="Q12" s="59"/>
      <c r="R12" s="58"/>
      <c r="S12" s="58"/>
      <c r="T12" s="58"/>
      <c r="U12" s="54">
        <f>IFERROR(I12*Funding!K$30,"")</f>
        <v>1759.9954318424529</v>
      </c>
      <c r="V12" s="54">
        <f>IFERROR(J12*Funding!L$30,"")</f>
        <v>1786.0850245394636</v>
      </c>
    </row>
    <row r="13" spans="1:22" s="81" customFormat="1" ht="12.6" customHeight="1" x14ac:dyDescent="0.3">
      <c r="D13" s="89" t="s">
        <v>37</v>
      </c>
      <c r="E13" s="89"/>
      <c r="F13" s="51">
        <f>SUM(Funding!$H13:H13)</f>
        <v>50</v>
      </c>
      <c r="G13" s="51">
        <f>SUM(Funding!$H13:I13)</f>
        <v>100</v>
      </c>
      <c r="H13" s="51">
        <f>SUM(Funding!$H13:J13)</f>
        <v>150</v>
      </c>
      <c r="I13" s="51">
        <f>SUM(Funding!$H13:K13)</f>
        <v>200</v>
      </c>
      <c r="J13" s="51">
        <f>IFERROR(SUM(Funding!$H13:L13),"")</f>
        <v>250</v>
      </c>
      <c r="K13" s="59"/>
      <c r="L13" s="53">
        <f t="shared" ref="L13:N14" si="3">F13/F$20</f>
        <v>6.0526611433779361E-2</v>
      </c>
      <c r="M13" s="53">
        <f t="shared" si="3"/>
        <v>6.1983808644647941E-2</v>
      </c>
      <c r="N13" s="53">
        <f t="shared" si="3"/>
        <v>5.0493676782131951E-2</v>
      </c>
      <c r="O13" s="53">
        <f t="shared" si="2"/>
        <v>3.4432845296979271E-2</v>
      </c>
      <c r="P13" s="53">
        <f t="shared" si="1"/>
        <v>3.1918125330806464E-2</v>
      </c>
      <c r="Q13" s="59"/>
      <c r="R13" s="51">
        <f>IFERROR(F13*Funding!H$30,"")</f>
        <v>15.260970131742146</v>
      </c>
      <c r="S13" s="51">
        <f>IFERROR(G13*Funding!I$30,"")</f>
        <v>183.13164158090575</v>
      </c>
      <c r="T13" s="51">
        <f>IFERROR(H13*Funding!J$30,"")</f>
        <v>290.13704013836781</v>
      </c>
      <c r="U13" s="51">
        <f>IFERROR(I13*Funding!K$30,"")</f>
        <v>414.11657219822422</v>
      </c>
      <c r="V13" s="51">
        <f>IFERROR(J13*Funding!L$30,"")</f>
        <v>525.31912486454814</v>
      </c>
    </row>
    <row r="14" spans="1:22" s="81" customFormat="1" ht="12.6" customHeight="1" x14ac:dyDescent="0.3">
      <c r="D14" s="161" t="s">
        <v>65</v>
      </c>
      <c r="E14" s="89"/>
      <c r="F14" s="56"/>
      <c r="G14" s="61">
        <f>SUM(Funding!$I14:I14)</f>
        <v>81.908292147171892</v>
      </c>
      <c r="H14" s="61">
        <f>SUM(Funding!$I14:J14)</f>
        <v>237.00741350906097</v>
      </c>
      <c r="I14" s="61">
        <f>SUM(Funding!$I14:K14)</f>
        <v>508.6700504395867</v>
      </c>
      <c r="J14" s="61">
        <f>SUM(Funding!$I14:L14)</f>
        <v>1044.9609313325175</v>
      </c>
      <c r="K14" s="59"/>
      <c r="L14" s="56"/>
      <c r="M14" s="62">
        <f t="shared" si="3"/>
        <v>5.0769879068602225E-2</v>
      </c>
      <c r="N14" s="62">
        <f t="shared" si="3"/>
        <v>7.9782504884637465E-2</v>
      </c>
      <c r="O14" s="62">
        <f t="shared" si="2"/>
        <v>8.7574785769964664E-2</v>
      </c>
      <c r="P14" s="62">
        <f t="shared" si="1"/>
        <v>0.13341277588827016</v>
      </c>
      <c r="Q14" s="59"/>
      <c r="R14" s="56"/>
      <c r="S14" s="61">
        <f>IFERROR(G14*Funding!I$30,"")</f>
        <v>150</v>
      </c>
      <c r="T14" s="61">
        <f>IFERROR(H14*Funding!J$30,"")</f>
        <v>458.43086297579441</v>
      </c>
      <c r="U14" s="61">
        <f>IFERROR(I14*Funding!K$30,"")</f>
        <v>1053.2434883396973</v>
      </c>
      <c r="V14" s="61">
        <f>IFERROR(J14*Funding!L$30,"")</f>
        <v>2195.751847860965</v>
      </c>
    </row>
    <row r="15" spans="1:22" s="81" customFormat="1" ht="12.6" customHeight="1" x14ac:dyDescent="0.3">
      <c r="D15" s="90" t="s">
        <v>64</v>
      </c>
      <c r="E15" s="89"/>
      <c r="F15" s="63"/>
      <c r="G15" s="63"/>
      <c r="H15" s="63"/>
      <c r="I15" s="63"/>
      <c r="J15" s="64">
        <f>IFERROR(SUM(Funding!$H15:L15),"")</f>
        <v>1200</v>
      </c>
      <c r="K15" s="59"/>
      <c r="L15" s="65"/>
      <c r="M15" s="65"/>
      <c r="N15" s="65"/>
      <c r="O15" s="65"/>
      <c r="P15" s="66">
        <f t="shared" si="1"/>
        <v>0.15320700158787104</v>
      </c>
      <c r="Q15" s="59"/>
      <c r="R15" s="63"/>
      <c r="S15" s="63"/>
      <c r="T15" s="63"/>
      <c r="U15" s="63"/>
      <c r="V15" s="64">
        <f>IFERROR(J15*Funding!L$30,"")</f>
        <v>2521.5317993498311</v>
      </c>
    </row>
    <row r="16" spans="1:22" s="81" customFormat="1" ht="12.6" customHeight="1" x14ac:dyDescent="0.3">
      <c r="D16" s="83" t="s">
        <v>110</v>
      </c>
      <c r="E16" s="162"/>
      <c r="F16" s="67">
        <f>SUM(F8:F15)</f>
        <v>819.08292147171892</v>
      </c>
      <c r="G16" s="67">
        <f>SUM(G8:G15)</f>
        <v>1550.9912136188909</v>
      </c>
      <c r="H16" s="67">
        <f>SUM(H8:H15)</f>
        <v>2897.7347939256069</v>
      </c>
      <c r="I16" s="67">
        <f>SUM(I8:I15)</f>
        <v>5720.4360628579288</v>
      </c>
      <c r="J16" s="67">
        <f>SUM(J8:J15)</f>
        <v>7735.0558355398252</v>
      </c>
      <c r="K16" s="68"/>
      <c r="L16" s="163">
        <f>SUM(L8:L15)</f>
        <v>0.99152627439927099</v>
      </c>
      <c r="M16" s="163">
        <f>SUM(M8:M15)</f>
        <v>0.96136342594483615</v>
      </c>
      <c r="N16" s="163">
        <f>SUM(N8:N15)</f>
        <v>0.97544856056544904</v>
      </c>
      <c r="O16" s="163">
        <f>SUM(O8:O15)</f>
        <v>0.98485444991824134</v>
      </c>
      <c r="P16" s="163">
        <f>SUM(P8:P15)</f>
        <v>0.98755392639818429</v>
      </c>
      <c r="Q16" s="68"/>
      <c r="R16" s="67">
        <f t="shared" ref="R16:S16" si="4">IF(SUM(R8:R15)=0,"",SUM(R8:R15))</f>
        <v>250.00000000000003</v>
      </c>
      <c r="S16" s="67">
        <f t="shared" si="4"/>
        <v>2840.3556702758874</v>
      </c>
      <c r="T16" s="67">
        <f>IF(SUM(T8:T15)=0,"",SUM(T8:T15))</f>
        <v>5604.9346414369256</v>
      </c>
      <c r="U16" s="67">
        <f>IF(SUM(U8:U15)=0,"",SUM(U8:U15))</f>
        <v>11844.636869149155</v>
      </c>
      <c r="V16" s="67">
        <f>SUM(V8:V15)</f>
        <v>16253.491049216791</v>
      </c>
    </row>
    <row r="17" spans="4:22" s="81" customFormat="1" ht="6.6" customHeight="1" x14ac:dyDescent="0.25">
      <c r="D17" s="96"/>
      <c r="E17" s="96"/>
      <c r="F17" s="102"/>
      <c r="G17" s="102"/>
      <c r="H17" s="102"/>
      <c r="I17" s="102"/>
      <c r="K17" s="96"/>
      <c r="Q17" s="96"/>
      <c r="U17" s="102"/>
    </row>
    <row r="18" spans="4:22" s="81" customFormat="1" ht="12.6" customHeight="1" x14ac:dyDescent="0.3">
      <c r="D18" s="91" t="s">
        <v>13</v>
      </c>
      <c r="F18" s="70">
        <f>Funding!S11</f>
        <v>3.9999999999999947</v>
      </c>
      <c r="G18" s="70">
        <f>Funding!T11</f>
        <v>38</v>
      </c>
      <c r="H18" s="70">
        <f>Funding!U11</f>
        <v>44.235020616137568</v>
      </c>
      <c r="I18" s="70">
        <f>Funding!V11</f>
        <v>53.22370707393916</v>
      </c>
      <c r="J18" s="51">
        <f>IFERROR(Funding!W11,"")</f>
        <v>58.783403255175514</v>
      </c>
      <c r="K18" s="71"/>
      <c r="L18" s="72">
        <f t="shared" ref="L18:O19" si="5">IFERROR(F18/F$20,"")</f>
        <v>4.8421289147023427E-3</v>
      </c>
      <c r="M18" s="72">
        <f t="shared" si="5"/>
        <v>2.355384728496622E-2</v>
      </c>
      <c r="N18" s="72">
        <f t="shared" si="5"/>
        <v>1.4890592222947958E-2</v>
      </c>
      <c r="O18" s="72">
        <f t="shared" si="5"/>
        <v>9.1632183590434416E-3</v>
      </c>
      <c r="P18" s="53">
        <f>IFERROR(J18/J$20,"")</f>
        <v>7.5050241298801152E-3</v>
      </c>
      <c r="Q18" s="71"/>
      <c r="R18" s="70">
        <f>IFERROR(Funding!S12,"")</f>
        <v>1.2208776105393702</v>
      </c>
      <c r="S18" s="70">
        <f>IFERROR(Funding!T12,"")</f>
        <v>69.590023800744191</v>
      </c>
      <c r="T18" s="70">
        <f>IFERROR(Funding!U12,"")</f>
        <v>85.561453013505556</v>
      </c>
      <c r="U18" s="70">
        <f>IFERROR(Funding!V12,"")</f>
        <v>110.20409566571031</v>
      </c>
      <c r="V18" s="51">
        <f>IFERROR(Funding!W12,"")</f>
        <v>123.52018381827452</v>
      </c>
    </row>
    <row r="19" spans="4:22" s="81" customFormat="1" ht="12.6" customHeight="1" x14ac:dyDescent="0.3">
      <c r="D19" s="90" t="s">
        <v>14</v>
      </c>
      <c r="E19" s="73"/>
      <c r="F19" s="74">
        <f>Funding!S19</f>
        <v>2.9999999999999973</v>
      </c>
      <c r="G19" s="74">
        <f>Funding!T19</f>
        <v>24.333333333333332</v>
      </c>
      <c r="H19" s="74">
        <f>Funding!U19</f>
        <v>28.699179265417403</v>
      </c>
      <c r="I19" s="74">
        <f>Funding!V19</f>
        <v>34.747820989629481</v>
      </c>
      <c r="J19" s="64">
        <f>IFERROR(Funding!W19,"")</f>
        <v>38.700968655940592</v>
      </c>
      <c r="K19" s="75"/>
      <c r="L19" s="76">
        <f t="shared" si="5"/>
        <v>3.6315966860267584E-3</v>
      </c>
      <c r="M19" s="76">
        <f t="shared" si="5"/>
        <v>1.5082726770197665E-2</v>
      </c>
      <c r="N19" s="76">
        <f t="shared" si="5"/>
        <v>9.6608472116029957E-3</v>
      </c>
      <c r="O19" s="76">
        <f t="shared" si="5"/>
        <v>5.9823317227152058E-3</v>
      </c>
      <c r="P19" s="66">
        <f>IFERROR(J19/J$20,"")</f>
        <v>4.9410494719356974E-3</v>
      </c>
      <c r="Q19" s="75"/>
      <c r="R19" s="74">
        <f>IFERROR(Funding!S20,"")</f>
        <v>0.91565820790452801</v>
      </c>
      <c r="S19" s="74">
        <f>IFERROR(Funding!T20,"")</f>
        <v>44.562032784687062</v>
      </c>
      <c r="T19" s="74">
        <f>IFERROR(Funding!U20,"")</f>
        <v>55.511299509790817</v>
      </c>
      <c r="U19" s="74">
        <f>IFERROR(Funding!V20,"")</f>
        <v>71.94824259791433</v>
      </c>
      <c r="V19" s="64">
        <f>IFERROR(Funding!W20,"")</f>
        <v>81.321435942996075</v>
      </c>
    </row>
    <row r="20" spans="4:22" s="81" customFormat="1" ht="12.6" customHeight="1" x14ac:dyDescent="0.3">
      <c r="D20" s="83" t="s">
        <v>111</v>
      </c>
      <c r="E20" s="164"/>
      <c r="F20" s="67">
        <f>SUM(F16:F19)</f>
        <v>826.08292147171892</v>
      </c>
      <c r="G20" s="67">
        <f>SUM(G16:G19)</f>
        <v>1613.3245469522242</v>
      </c>
      <c r="H20" s="67">
        <f>SUM(H16:H19)</f>
        <v>2970.6689938071622</v>
      </c>
      <c r="I20" s="67">
        <f>SUM(I16:I19)</f>
        <v>5808.407590921498</v>
      </c>
      <c r="J20" s="67">
        <f>SUM(J16:J19)</f>
        <v>7832.5402074509411</v>
      </c>
      <c r="K20" s="68"/>
      <c r="L20" s="163">
        <f>SUM(L16:L19)</f>
        <v>1.0000000000000002</v>
      </c>
      <c r="M20" s="163">
        <f>SUM(M16:M19)</f>
        <v>1</v>
      </c>
      <c r="N20" s="163">
        <f>SUM(N16:N19)</f>
        <v>1</v>
      </c>
      <c r="O20" s="163">
        <f>SUM(O16:O19)</f>
        <v>1</v>
      </c>
      <c r="P20" s="163">
        <f>SUM(P16:P19)</f>
        <v>1</v>
      </c>
      <c r="Q20" s="68"/>
      <c r="R20" s="67">
        <f t="shared" ref="R20:S20" si="6">IF(SUM(R16:R19)=0,"",SUM(R16:R19))</f>
        <v>252.13653581844392</v>
      </c>
      <c r="S20" s="67">
        <f t="shared" si="6"/>
        <v>2954.5077268613186</v>
      </c>
      <c r="T20" s="67">
        <f>IF(SUM(T16:T19)=0,"",SUM(T16:T19))</f>
        <v>5746.0073939602216</v>
      </c>
      <c r="U20" s="67">
        <f>IF(SUM(U16:U19)=0,"",SUM(U16:U19))</f>
        <v>12026.789207412781</v>
      </c>
      <c r="V20" s="67">
        <f>SUM(V16:V19)</f>
        <v>16458.332668978062</v>
      </c>
    </row>
    <row r="21" spans="4:22" s="81" customFormat="1" ht="12.6" customHeight="1" x14ac:dyDescent="0.3">
      <c r="F21" s="71"/>
      <c r="G21" s="71"/>
      <c r="H21" s="71"/>
      <c r="I21" s="71"/>
      <c r="J21" s="85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85"/>
    </row>
    <row r="22" spans="4:22" s="81" customFormat="1" ht="12.6" customHeight="1" x14ac:dyDescent="0.3">
      <c r="D22" s="83" t="s">
        <v>109</v>
      </c>
      <c r="F22" s="71"/>
      <c r="G22" s="71"/>
      <c r="H22" s="71"/>
      <c r="I22" s="71"/>
      <c r="J22" s="103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103"/>
    </row>
    <row r="23" spans="4:22" s="81" customFormat="1" ht="12.6" customHeight="1" x14ac:dyDescent="0.3">
      <c r="D23" s="88" t="s">
        <v>59</v>
      </c>
      <c r="F23" s="77"/>
      <c r="G23" s="70">
        <f>IFERROR(Funding!I10*(Funding!M10-1),"")</f>
        <v>0</v>
      </c>
      <c r="H23" s="167">
        <f>IFERROR(G23+Funding!J10*(Funding!M11-1),"")</f>
        <v>88.328891788965478</v>
      </c>
      <c r="I23" s="167">
        <f>IFERROR(H23+Funding!K10*(Funding!M12-1),"")</f>
        <v>88.328891788965478</v>
      </c>
      <c r="J23" s="61">
        <f>I23</f>
        <v>88.328891788965478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</row>
    <row r="24" spans="4:22" s="81" customFormat="1" ht="12.6" customHeight="1" x14ac:dyDescent="0.3">
      <c r="D24" s="88" t="s">
        <v>60</v>
      </c>
      <c r="E24" s="73"/>
      <c r="F24" s="77"/>
      <c r="G24" s="77"/>
      <c r="H24" s="70">
        <f>IFERROR(IF(Funding!J11*(Funding!M11-1)&lt;=0,"",Funding!J11*(Funding!M11-1)),"")</f>
        <v>139.99999999999997</v>
      </c>
      <c r="I24" s="167">
        <f>IFERROR(IF(H24+Funding!K11*(Funding!M12-1)&lt;=0,"",H24+Funding!K11*(Funding!M12-1)),"")</f>
        <v>139.99999999999997</v>
      </c>
      <c r="J24" s="61">
        <f>I24</f>
        <v>139.99999999999997</v>
      </c>
      <c r="K24" s="75"/>
      <c r="L24" s="71"/>
      <c r="M24" s="71"/>
      <c r="N24" s="71"/>
      <c r="O24" s="71"/>
      <c r="P24" s="71"/>
      <c r="Q24" s="75"/>
      <c r="R24" s="75"/>
      <c r="S24" s="75"/>
      <c r="T24" s="75"/>
      <c r="U24" s="75"/>
      <c r="V24" s="75"/>
    </row>
    <row r="25" spans="4:22" s="81" customFormat="1" ht="12.6" customHeight="1" x14ac:dyDescent="0.3">
      <c r="D25" s="165" t="s">
        <v>61</v>
      </c>
      <c r="F25" s="78"/>
      <c r="G25" s="78"/>
      <c r="H25" s="78"/>
      <c r="I25" s="166">
        <f>IFERROR(Funding!K12*(Funding!M12-1),"")</f>
        <v>0</v>
      </c>
      <c r="J25" s="79">
        <f>I25</f>
        <v>0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</row>
    <row r="26" spans="4:22" s="81" customFormat="1" ht="12.6" customHeight="1" x14ac:dyDescent="0.3">
      <c r="D26" s="83" t="s">
        <v>15</v>
      </c>
      <c r="E26" s="73"/>
      <c r="F26" s="101"/>
      <c r="G26" s="101">
        <f>SUM(G23:G25)</f>
        <v>0</v>
      </c>
      <c r="H26" s="101">
        <f t="shared" ref="H26" si="7">SUM(H23:H25)</f>
        <v>228.32889178896545</v>
      </c>
      <c r="I26" s="101">
        <f>SUM(I23:I25)</f>
        <v>228.32889178896545</v>
      </c>
      <c r="J26" s="67">
        <f>SUM(J23:J25)</f>
        <v>228.32889178896545</v>
      </c>
      <c r="K26" s="75"/>
      <c r="L26" s="71"/>
      <c r="M26" s="71"/>
      <c r="N26" s="71"/>
      <c r="O26" s="71"/>
      <c r="P26" s="71"/>
      <c r="Q26" s="75"/>
      <c r="R26" s="75"/>
      <c r="S26" s="75"/>
      <c r="T26" s="75"/>
      <c r="U26" s="75"/>
      <c r="V26" s="75"/>
    </row>
    <row r="29" spans="4:22" x14ac:dyDescent="0.3">
      <c r="J29" s="168"/>
    </row>
  </sheetData>
  <sheetProtection algorithmName="SHA-512" hashValue="TAk6IX+JyyhTEWre5iAvqox7J1G1L5HSlMZNTALt8gEzDnjqHJZIULIsv7HscLYBUKOO9+h8fsMLOndS42n8mA==" saltValue="mM9A/mgM1YoEKnxTIiDkpg==" spinCount="100000" sheet="1" objects="1" scenarios="1" selectLockedCells="1" selectUnlockedCells="1"/>
  <mergeCells count="3">
    <mergeCell ref="F6:J6"/>
    <mergeCell ref="L6:P6"/>
    <mergeCell ref="R6:V6"/>
  </mergeCells>
  <printOptions horizontalCentered="1"/>
  <pageMargins left="0.5" right="0.5" top="0.75" bottom="0.75" header="0.3" footer="0.3"/>
  <pageSetup scale="79" orientation="landscape" r:id="rId1"/>
  <headerFooter scaleWithDoc="0" alignWithMargins="0">
    <oddFooter>&amp;L&amp;10Capitalization Tables&amp;R&amp;10Updated &amp;D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1AB17-6C05-4618-89B5-1A34C7D8A67F}">
  <sheetPr>
    <tabColor theme="9" tint="0.79998168889431442"/>
    <pageSetUpPr fitToPage="1"/>
  </sheetPr>
  <dimension ref="A1:W32"/>
  <sheetViews>
    <sheetView showGridLines="0" showRowColHeaders="0" zoomScaleNormal="100" workbookViewId="0"/>
  </sheetViews>
  <sheetFormatPr defaultColWidth="9.109375" defaultRowHeight="13.8" x14ac:dyDescent="0.3"/>
  <cols>
    <col min="1" max="1" width="3" style="8" customWidth="1"/>
    <col min="2" max="2" width="3.33203125" style="6" customWidth="1"/>
    <col min="3" max="3" width="0.88671875" style="6" customWidth="1"/>
    <col min="4" max="4" width="20.33203125" style="6" customWidth="1"/>
    <col min="5" max="5" width="2.21875" style="6" customWidth="1"/>
    <col min="6" max="10" width="8.5546875" style="10" customWidth="1"/>
    <col min="11" max="16384" width="9.109375" style="6"/>
  </cols>
  <sheetData>
    <row r="1" spans="1:23" s="8" customFormat="1" ht="10.199999999999999" x14ac:dyDescent="0.2">
      <c r="A1" s="234" t="s">
        <v>4</v>
      </c>
      <c r="B1" s="7"/>
      <c r="C1" s="7"/>
      <c r="D1" s="9"/>
      <c r="E1" s="9"/>
      <c r="F1" s="9"/>
      <c r="G1" s="9"/>
    </row>
    <row r="2" spans="1:23" s="3" customFormat="1" ht="9" customHeight="1" x14ac:dyDescent="0.45">
      <c r="D2" s="18"/>
      <c r="E2" s="18"/>
      <c r="F2" s="19"/>
    </row>
    <row r="3" spans="1:23" s="3" customFormat="1" ht="20.399999999999999" x14ac:dyDescent="0.45">
      <c r="C3" s="241" t="s">
        <v>16</v>
      </c>
      <c r="D3" s="241"/>
      <c r="E3" s="241"/>
      <c r="I3" s="20"/>
      <c r="J3" s="230"/>
    </row>
    <row r="4" spans="1:23" s="2" customFormat="1" ht="12.6" x14ac:dyDescent="0.25">
      <c r="C4" s="14" t="s">
        <v>42</v>
      </c>
      <c r="F4" s="5"/>
    </row>
    <row r="5" spans="1:23" s="24" customFormat="1" ht="21" customHeight="1" x14ac:dyDescent="0.3">
      <c r="D5" s="39"/>
      <c r="E5" s="39"/>
      <c r="F5" s="39"/>
      <c r="G5" s="39"/>
      <c r="H5" s="39"/>
      <c r="I5" s="39"/>
      <c r="J5" s="39"/>
      <c r="K5" s="39"/>
      <c r="L5" s="23"/>
      <c r="M5" s="39"/>
      <c r="N5" s="39"/>
      <c r="O5" s="39"/>
      <c r="P5" s="23"/>
      <c r="S5" s="48"/>
      <c r="T5" s="48"/>
      <c r="U5" s="48"/>
      <c r="V5" s="48"/>
      <c r="W5" s="48"/>
    </row>
    <row r="6" spans="1:23" s="2" customFormat="1" ht="12.6" customHeight="1" x14ac:dyDescent="0.25">
      <c r="B6" s="100"/>
      <c r="C6" s="100"/>
      <c r="F6" s="246" t="s">
        <v>124</v>
      </c>
      <c r="G6" s="246" t="s">
        <v>98</v>
      </c>
      <c r="H6" s="246" t="s">
        <v>97</v>
      </c>
      <c r="I6" s="246" t="s">
        <v>99</v>
      </c>
      <c r="J6" s="246" t="s">
        <v>100</v>
      </c>
    </row>
    <row r="7" spans="1:23" s="36" customFormat="1" ht="12.6" customHeight="1" x14ac:dyDescent="0.4">
      <c r="C7" s="239" t="s">
        <v>95</v>
      </c>
      <c r="D7" s="239"/>
      <c r="E7" s="119"/>
      <c r="F7" s="246"/>
      <c r="G7" s="246"/>
      <c r="H7" s="246"/>
      <c r="I7" s="246"/>
      <c r="J7" s="246"/>
    </row>
    <row r="8" spans="1:23" s="24" customFormat="1" ht="12.6" customHeight="1" x14ac:dyDescent="0.3">
      <c r="D8" s="148" t="s">
        <v>73</v>
      </c>
      <c r="E8" s="148"/>
      <c r="F8" s="108">
        <f>Funding!L30</f>
        <v>2.1012764994581925</v>
      </c>
      <c r="G8" s="191">
        <v>3</v>
      </c>
      <c r="H8" s="196">
        <v>6.5</v>
      </c>
      <c r="I8" s="196">
        <v>2.25</v>
      </c>
      <c r="J8" s="196">
        <v>4.95</v>
      </c>
    </row>
    <row r="9" spans="1:23" s="24" customFormat="1" ht="12.6" customHeight="1" x14ac:dyDescent="0.3">
      <c r="A9" s="28"/>
      <c r="D9" s="154" t="s">
        <v>51</v>
      </c>
      <c r="E9" s="155"/>
      <c r="F9" s="109">
        <f>Funding!L17</f>
        <v>7735.0558355398252</v>
      </c>
      <c r="G9" s="192">
        <v>5000</v>
      </c>
      <c r="H9" s="197">
        <v>6000</v>
      </c>
      <c r="I9" s="197">
        <v>7000</v>
      </c>
      <c r="J9" s="197">
        <v>8000</v>
      </c>
    </row>
    <row r="10" spans="1:23" s="24" customFormat="1" ht="12.6" customHeight="1" x14ac:dyDescent="0.3">
      <c r="D10" s="155" t="s">
        <v>66</v>
      </c>
      <c r="E10" s="155"/>
      <c r="F10" s="198">
        <v>50</v>
      </c>
      <c r="G10" s="199">
        <v>50</v>
      </c>
      <c r="H10" s="198">
        <v>50</v>
      </c>
      <c r="I10" s="198">
        <v>0</v>
      </c>
      <c r="J10" s="198">
        <v>0</v>
      </c>
    </row>
    <row r="11" spans="1:23" s="24" customFormat="1" ht="12.6" customHeight="1" x14ac:dyDescent="0.3">
      <c r="D11" s="154" t="s">
        <v>67</v>
      </c>
      <c r="E11" s="155"/>
      <c r="F11" s="200">
        <v>25</v>
      </c>
      <c r="G11" s="201">
        <v>25</v>
      </c>
      <c r="H11" s="200">
        <v>25</v>
      </c>
      <c r="I11" s="200">
        <v>25</v>
      </c>
      <c r="J11" s="200">
        <v>25</v>
      </c>
    </row>
    <row r="12" spans="1:23" ht="12.6" customHeight="1" x14ac:dyDescent="0.3">
      <c r="D12" s="155" t="s">
        <v>78</v>
      </c>
      <c r="E12" s="155"/>
      <c r="F12" s="198">
        <v>80</v>
      </c>
      <c r="G12" s="193">
        <v>131</v>
      </c>
      <c r="H12" s="198">
        <v>145</v>
      </c>
      <c r="I12" s="198">
        <v>150</v>
      </c>
      <c r="J12" s="198">
        <v>160</v>
      </c>
    </row>
    <row r="13" spans="1:23" s="24" customFormat="1" ht="12.6" customHeight="1" x14ac:dyDescent="0.3">
      <c r="D13" s="154" t="s">
        <v>79</v>
      </c>
      <c r="E13" s="155"/>
      <c r="F13" s="200">
        <v>85</v>
      </c>
      <c r="G13" s="201">
        <v>85</v>
      </c>
      <c r="H13" s="200">
        <v>80</v>
      </c>
      <c r="I13" s="200">
        <v>95</v>
      </c>
      <c r="J13" s="200">
        <v>83</v>
      </c>
    </row>
    <row r="14" spans="1:23" s="24" customFormat="1" ht="12.6" customHeight="1" x14ac:dyDescent="0.3">
      <c r="D14" s="156" t="s">
        <v>68</v>
      </c>
      <c r="E14" s="157"/>
      <c r="F14" s="202">
        <v>25</v>
      </c>
      <c r="G14" s="202">
        <v>5</v>
      </c>
      <c r="H14" s="203">
        <v>75</v>
      </c>
      <c r="I14" s="203"/>
      <c r="J14" s="203">
        <v>-100</v>
      </c>
    </row>
    <row r="15" spans="1:23" s="107" customFormat="1" ht="12.6" customHeight="1" x14ac:dyDescent="0.3">
      <c r="D15" s="80" t="s">
        <v>115</v>
      </c>
      <c r="E15" s="80"/>
      <c r="F15" s="30">
        <f t="shared" ref="F15:H15" si="0">IFERROR(SUM(F9:F13)-ABS(F14),"")</f>
        <v>7950.0558355398252</v>
      </c>
      <c r="G15" s="30">
        <f t="shared" si="0"/>
        <v>5286</v>
      </c>
      <c r="H15" s="30">
        <f t="shared" si="0"/>
        <v>6225</v>
      </c>
      <c r="I15" s="30">
        <f>IFERROR(SUM(I9:I13)-ABS(I14),"")</f>
        <v>7270</v>
      </c>
      <c r="J15" s="30">
        <f>IFERROR(SUM(J9:J13)-ABS(J14),"")</f>
        <v>8168</v>
      </c>
    </row>
    <row r="16" spans="1:23" s="24" customFormat="1" ht="15" customHeight="1" x14ac:dyDescent="0.25">
      <c r="D16" s="50"/>
      <c r="E16" s="50"/>
      <c r="F16" s="110"/>
      <c r="G16" s="110"/>
      <c r="H16" s="110"/>
      <c r="I16" s="110"/>
      <c r="J16" s="110"/>
    </row>
    <row r="17" spans="1:10" s="36" customFormat="1" ht="12.6" customHeight="1" x14ac:dyDescent="0.4">
      <c r="A17" s="24"/>
      <c r="C17" s="239" t="s">
        <v>96</v>
      </c>
      <c r="D17" s="239"/>
      <c r="E17" s="119"/>
      <c r="F17" s="110"/>
      <c r="G17" s="110"/>
      <c r="H17" s="110"/>
      <c r="I17" s="110"/>
      <c r="J17" s="110"/>
    </row>
    <row r="18" spans="1:10" s="36" customFormat="1" ht="12.6" customHeight="1" x14ac:dyDescent="0.3">
      <c r="A18" s="24"/>
      <c r="D18" s="99" t="s">
        <v>13</v>
      </c>
      <c r="E18" s="99"/>
      <c r="F18" s="198">
        <v>50</v>
      </c>
      <c r="G18" s="193">
        <v>100</v>
      </c>
      <c r="H18" s="198">
        <v>50</v>
      </c>
      <c r="I18" s="198">
        <v>200</v>
      </c>
      <c r="J18" s="198">
        <v>300</v>
      </c>
    </row>
    <row r="19" spans="1:10" s="24" customFormat="1" ht="12.6" customHeight="1" x14ac:dyDescent="0.3">
      <c r="D19" s="159" t="s">
        <v>62</v>
      </c>
      <c r="E19" s="99"/>
      <c r="F19" s="204">
        <v>6.75</v>
      </c>
      <c r="G19" s="205">
        <v>7</v>
      </c>
      <c r="H19" s="204">
        <v>6</v>
      </c>
      <c r="I19" s="204">
        <v>4</v>
      </c>
      <c r="J19" s="204">
        <v>2</v>
      </c>
    </row>
    <row r="20" spans="1:10" s="24" customFormat="1" ht="12.6" hidden="1" customHeight="1" x14ac:dyDescent="0.3">
      <c r="D20" s="154" t="s">
        <v>80</v>
      </c>
      <c r="E20" s="155"/>
      <c r="F20" s="206" cm="1">
        <f t="array" ref="F20">IFERROR(SUMPRODUCT((Funding!$S$10:$W$10&lt;F$8)*Funding!$S$8:$W$8*(1-Funding!$S$10:$W$10/F$8))  *  (1-(F12/SUM(Funding!$S$8:$W$8)))   +   IF(F19&lt;F$8,F18*(1-F19/F$8),0),"")</f>
        <v>35.270041953105306</v>
      </c>
      <c r="G20" s="109" cm="1">
        <f t="array" ref="G20">IFERROR(SUMPRODUCT((Funding!$S$10:$W$10&lt;G$8)*Funding!$S$8:$W$8*(1-Funding!$S$10:$W$10/G$8))  *  (1-(G12/SUM(Funding!$S$8:$W$8)))   +   IF(G19&lt;G$8,G18*(1-G19/G$8),0),"")</f>
        <v>34.875461651563135</v>
      </c>
      <c r="H20" s="206" cm="1">
        <f t="array" ref="H20">IFERROR(SUMPRODUCT((Funding!$S$10:$W$10&lt;H$8)*Funding!$S$8:$W$8*(1-Funding!$S$10:$W$10/H$8))  *  (1-(H12/SUM(Funding!$S$8:$W$8)))   +   IF(H19&lt;H$8,H18*(1-H19/H$8),0),"")</f>
        <v>46.291975858434597</v>
      </c>
      <c r="I20" s="206" cm="1">
        <f t="array" ref="I20">IFERROR(SUMPRODUCT((Funding!$S$10:$W$10&lt;I$8)*Funding!$S$8:$W$8*(1-Funding!$S$10:$W$10/I$8))  *  (1-(I12/SUM(Funding!$S$8:$W$8)))   +   IF(I19&lt;I$8,I18*(1-I19/I$8),0),"")</f>
        <v>17.029431547404002</v>
      </c>
      <c r="J20" s="206" cm="1">
        <f t="array" ref="J20">IFERROR(SUMPRODUCT((Funding!$S$10:$W$10&lt;J$8)*Funding!$S$8:$W$8*(1-Funding!$S$10:$W$10/J$8))  *  (1-(J12/SUM(Funding!$S$8:$W$8)))   +   IF(J19&lt;J$8,J18*(1-J19/J$8),0),"")</f>
        <v>206.79858116875297</v>
      </c>
    </row>
    <row r="21" spans="1:10" s="24" customFormat="1" ht="12.6" customHeight="1" x14ac:dyDescent="0.3">
      <c r="D21" s="99" t="s">
        <v>14</v>
      </c>
      <c r="E21" s="99"/>
      <c r="F21" s="198">
        <v>20</v>
      </c>
      <c r="G21" s="199">
        <v>30</v>
      </c>
      <c r="H21" s="198">
        <v>50</v>
      </c>
      <c r="I21" s="198">
        <v>25</v>
      </c>
      <c r="J21" s="198">
        <v>100</v>
      </c>
    </row>
    <row r="22" spans="1:10" ht="12.6" customHeight="1" x14ac:dyDescent="0.3">
      <c r="D22" s="160" t="s">
        <v>62</v>
      </c>
      <c r="E22" s="99"/>
      <c r="F22" s="207">
        <v>4</v>
      </c>
      <c r="G22" s="194">
        <v>5</v>
      </c>
      <c r="H22" s="207">
        <v>6</v>
      </c>
      <c r="I22" s="207">
        <v>5.5</v>
      </c>
      <c r="J22" s="207">
        <v>5</v>
      </c>
    </row>
    <row r="23" spans="1:10" ht="12.6" hidden="1" customHeight="1" x14ac:dyDescent="0.3">
      <c r="D23" s="154" t="s">
        <v>80</v>
      </c>
      <c r="E23" s="155"/>
      <c r="F23" s="146" cm="1">
        <f t="array" ref="F23">IFERROR(SUMPRODUCT((Funding!$S$18:$W$18&lt;F$8)*Funding!$S$16:$W$16*(1-Funding!$S$18:$W$18/F$8))   *   (1-(F13/SUM(Funding!$S$16:$W$16)))   +   IF(F22&lt;F$8,F21*(1-F22/F$8),0),"")</f>
        <v>12.384309969900988</v>
      </c>
      <c r="G23" s="146" cm="1">
        <f t="array" ref="G23">IFERROR(SUMPRODUCT((Funding!$S$18:$W$18&lt;G$8)*Funding!$S$16:$W$16*(1-Funding!$S$18:$W$18/G$8))   *   (1-(G13/SUM(Funding!$S$16:$W$16)))   +   IF(G22&lt;G$8,G21*(1-G22/G$8),0),"")</f>
        <v>20.657266507810348</v>
      </c>
      <c r="H23" s="146" cm="1">
        <f t="array" ref="H23">IFERROR(SUMPRODUCT((Funding!$S$18:$W$18&lt;H$8)*Funding!$S$16:$W$16*(1-Funding!$S$18:$W$18/H$8))   *   (1-(H13/SUM(Funding!$S$16:$W$16)))   +   IF(H22&lt;H$8,H21*(1-H22/H$8),0),"")</f>
        <v>38.80281145597845</v>
      </c>
      <c r="I23" s="146" cm="1">
        <f t="array" ref="I23">IFERROR(SUMPRODUCT((Funding!$S$18:$W$18&lt;I$8)*Funding!$S$16:$W$16*(1-Funding!$S$18:$W$18/I$8))   *   (1-(I13/SUM(Funding!$S$16:$W$16)))   +   IF(I22&lt;I$8,I21*(1-I22/I$8),0),"")</f>
        <v>10.657266507810347</v>
      </c>
      <c r="J23" s="146" cm="1">
        <f t="array" ref="J23">IFERROR(SUMPRODUCT((Funding!$S$18:$W$18&lt;J$8)*Funding!$S$16:$W$16*(1-Funding!$S$18:$W$18/J$8))   *   (1-(J13/SUM(Funding!$S$16:$W$16)))   +   IF(J22&lt;J$8,J21*(1-J22/J$8),0),"")</f>
        <v>29.69098777769749</v>
      </c>
    </row>
    <row r="24" spans="1:10" s="24" customFormat="1" ht="12.6" customHeight="1" x14ac:dyDescent="0.3">
      <c r="D24" s="80" t="s">
        <v>114</v>
      </c>
      <c r="E24" s="80"/>
      <c r="F24" s="30">
        <f t="shared" ref="F24:I24" si="1">IF(SUM(F20,F23)=0,"",SUM(F20,F23))</f>
        <v>47.654351923006296</v>
      </c>
      <c r="G24" s="30">
        <f t="shared" si="1"/>
        <v>55.532728159373484</v>
      </c>
      <c r="H24" s="30">
        <f t="shared" si="1"/>
        <v>85.094787314413054</v>
      </c>
      <c r="I24" s="30">
        <f t="shared" si="1"/>
        <v>27.68669805521435</v>
      </c>
      <c r="J24" s="30">
        <f>IF(SUM(J20,J23)=0,"",SUM(J20,J23))</f>
        <v>236.48956894645048</v>
      </c>
    </row>
    <row r="25" spans="1:10" s="24" customFormat="1" ht="15" customHeight="1" x14ac:dyDescent="0.25">
      <c r="D25" s="50"/>
      <c r="E25" s="50"/>
      <c r="F25" s="110"/>
      <c r="G25" s="110"/>
      <c r="H25" s="110"/>
      <c r="I25" s="110"/>
      <c r="J25" s="110"/>
    </row>
    <row r="26" spans="1:10" s="36" customFormat="1" ht="12.6" customHeight="1" x14ac:dyDescent="0.4">
      <c r="A26" s="24"/>
      <c r="C26" s="252" t="s">
        <v>92</v>
      </c>
      <c r="D26" s="252"/>
      <c r="E26" s="121"/>
      <c r="F26" s="110"/>
      <c r="G26" s="110"/>
      <c r="H26" s="110"/>
      <c r="I26" s="110"/>
      <c r="J26" s="110"/>
    </row>
    <row r="27" spans="1:10" s="24" customFormat="1" ht="12.6" customHeight="1" x14ac:dyDescent="0.3">
      <c r="D27" s="69" t="s">
        <v>75</v>
      </c>
      <c r="E27" s="69"/>
      <c r="F27" s="208">
        <v>80</v>
      </c>
      <c r="G27" s="195">
        <v>100</v>
      </c>
      <c r="H27" s="208">
        <v>70</v>
      </c>
      <c r="I27" s="208">
        <v>50</v>
      </c>
      <c r="J27" s="208">
        <v>25</v>
      </c>
    </row>
    <row r="28" spans="1:10" s="24" customFormat="1" ht="12.6" customHeight="1" x14ac:dyDescent="0.3">
      <c r="D28" s="99" t="s">
        <v>76</v>
      </c>
      <c r="E28" s="99"/>
      <c r="F28" s="209">
        <v>0.18</v>
      </c>
      <c r="G28" s="210">
        <v>0.2</v>
      </c>
      <c r="H28" s="209">
        <v>0.1</v>
      </c>
      <c r="I28" s="209">
        <v>0.25</v>
      </c>
      <c r="J28" s="209">
        <v>0.18</v>
      </c>
    </row>
    <row r="29" spans="1:10" s="24" customFormat="1" ht="12.6" customHeight="1" x14ac:dyDescent="0.3">
      <c r="A29" s="29"/>
      <c r="D29" s="158" t="s">
        <v>77</v>
      </c>
      <c r="E29" s="99"/>
      <c r="F29" s="211">
        <v>3500</v>
      </c>
      <c r="G29" s="212">
        <v>3000</v>
      </c>
      <c r="H29" s="211">
        <v>4000</v>
      </c>
      <c r="I29" s="211">
        <v>2200</v>
      </c>
      <c r="J29" s="211">
        <v>1050</v>
      </c>
    </row>
    <row r="30" spans="1:10" s="24" customFormat="1" ht="12.6" customHeight="1" x14ac:dyDescent="0.3">
      <c r="D30" s="80" t="s">
        <v>114</v>
      </c>
      <c r="E30" s="80"/>
      <c r="F30" s="30">
        <f t="shared" ref="F30:I30" si="2">IFERROR(F27/MIN(F8*(1-F28),F29/F15),"")</f>
        <v>181.71556195519599</v>
      </c>
      <c r="G30" s="30">
        <f t="shared" si="2"/>
        <v>176.20000000000002</v>
      </c>
      <c r="H30" s="30">
        <f t="shared" si="2"/>
        <v>108.9375</v>
      </c>
      <c r="I30" s="30">
        <f t="shared" si="2"/>
        <v>165.22727272727272</v>
      </c>
      <c r="J30" s="30">
        <f>IFERROR(J27/MIN(J8*(1-J28),J29/J15),"")</f>
        <v>194.47619047619045</v>
      </c>
    </row>
    <row r="31" spans="1:10" s="24" customFormat="1" ht="15" customHeight="1" x14ac:dyDescent="0.25">
      <c r="D31" s="50"/>
      <c r="E31" s="50"/>
      <c r="F31" s="110"/>
      <c r="G31" s="110"/>
      <c r="H31" s="110"/>
      <c r="I31" s="110"/>
      <c r="J31" s="110"/>
    </row>
    <row r="32" spans="1:10" s="24" customFormat="1" ht="12.6" customHeight="1" x14ac:dyDescent="0.3">
      <c r="C32" s="238" t="s">
        <v>107</v>
      </c>
      <c r="D32" s="238"/>
      <c r="E32" s="145"/>
      <c r="F32" s="35">
        <f>SUM(F15,F20,F23,F30)</f>
        <v>8179.4257494180274</v>
      </c>
      <c r="G32" s="35">
        <f>SUM(G15,G20,G23,G30)</f>
        <v>5517.7327281593734</v>
      </c>
      <c r="H32" s="35">
        <f>SUM(H15,H20,H23,H30)</f>
        <v>6419.0322873144132</v>
      </c>
      <c r="I32" s="35">
        <f>SUM(I15,I20,I23,I30)</f>
        <v>7462.913970782487</v>
      </c>
      <c r="J32" s="35">
        <f>SUM(J15,J20,J23,J30)</f>
        <v>8598.965759422641</v>
      </c>
    </row>
  </sheetData>
  <sheetProtection algorithmName="SHA-512" hashValue="HtuyABBPlxOChFlZgkb/aubJR1NVEmlI78IudX2Rqzps5E83BbDLarjEHF9BqMyqxOZCIaEp/ciiOdv0jnvX9w==" saltValue="WS8Px5XPCqht/KZ0hS6brA==" spinCount="100000" sheet="1" objects="1" scenarios="1" selectLockedCells="1"/>
  <mergeCells count="10">
    <mergeCell ref="F6:F7"/>
    <mergeCell ref="G6:G7"/>
    <mergeCell ref="H6:H7"/>
    <mergeCell ref="I6:I7"/>
    <mergeCell ref="J6:J7"/>
    <mergeCell ref="C3:E3"/>
    <mergeCell ref="C32:D32"/>
    <mergeCell ref="C7:D7"/>
    <mergeCell ref="C17:D17"/>
    <mergeCell ref="C26:D26"/>
  </mergeCells>
  <phoneticPr fontId="9" type="noConversion"/>
  <conditionalFormatting sqref="F14:J14">
    <cfRule type="expression" dxfId="0" priority="7">
      <formula>IF(ABS(F14)&gt;F9,TRUE,FALSE)</formula>
    </cfRule>
  </conditionalFormatting>
  <dataValidations count="2">
    <dataValidation type="custom" allowBlank="1" showInputMessage="1" showErrorMessage="1" error="Exceeds number of shares outstanding" sqref="F11:J11" xr:uid="{46BF8715-18CD-4D54-A122-A5DE01A79AB3}">
      <formula1>IF(F11&gt;F9,FALSE,TRUE)</formula1>
    </dataValidation>
    <dataValidation type="custom" allowBlank="1" showInputMessage="1" showErrorMessage="1" error="Exceeds number of shares outstanding" sqref="F14:J14" xr:uid="{789C5C58-32F6-4ABF-8A34-D1BAA81AB2F6}">
      <formula1>IF(ABS(F14)&gt;F9,FALSE,TRUE)</formula1>
    </dataValidation>
  </dataValidations>
  <printOptions horizontalCentered="1"/>
  <pageMargins left="0.5" right="0.5" top="0.75" bottom="0.75" header="0.3" footer="0.3"/>
  <pageSetup orientation="landscape" r:id="rId1"/>
  <headerFooter scaleWithDoc="0" alignWithMargins="0">
    <oddFooter>&amp;L&amp;10Shares Outstanding&amp;R&amp;10Updated &amp;D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1742064-4856-422C-AAE4-A7CAF7756414}">
            <xm:f>IF(F12&gt;SUM(Funding!$S$8:$W$8),TRUE,FALSE)</xm:f>
            <x14:dxf>
              <font>
                <b/>
                <i val="0"/>
                <color theme="0"/>
              </font>
              <fill>
                <patternFill>
                  <bgColor rgb="FFC0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F12:J12</xm:sqref>
        </x14:conditionalFormatting>
        <x14:conditionalFormatting xmlns:xm="http://schemas.microsoft.com/office/excel/2006/main">
          <x14:cfRule type="expression" priority="2" id="{5572321A-40FC-49BF-A7D4-3D23FC408EDD}">
            <xm:f>IF(F13&gt;SUM(Funding!$S$16:$W$16),TRUE,FALSE)</xm:f>
            <x14:dxf>
              <font>
                <b/>
                <i val="0"/>
                <color theme="0"/>
              </font>
              <fill>
                <patternFill>
                  <bgColor rgb="FFC00000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F13:J13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custom" allowBlank="1" showInputMessage="1" showErrorMessage="1" error="Exceeds number of options granted" xr:uid="{79A79663-C313-43F5-A8DE-BE64166EE8C7}">
          <x14:formula1>
            <xm:f>IF(F12&gt;SUM(Funding!$S$8:$W$8),FALSE,TRUE)</xm:f>
          </x14:formula1>
          <xm:sqref>F12:J12</xm:sqref>
        </x14:dataValidation>
        <x14:dataValidation type="custom" allowBlank="1" showInputMessage="1" showErrorMessage="1" error="Exceeds number of warrants granted" xr:uid="{310CC592-7CA1-4CD1-853D-4E78BBFF0459}">
          <x14:formula1>
            <xm:f>IF(F13&gt;SUM(Funding!$S$16:$W$16),FALSE,TRUE)</xm:f>
          </x14:formula1>
          <xm:sqref>F13:J13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C4B17-EF93-40D8-BEE5-C65D94AF5545}">
  <sheetPr>
    <tabColor theme="9" tint="0.79998168889431442"/>
    <pageSetUpPr fitToPage="1"/>
  </sheetPr>
  <dimension ref="A1:K28"/>
  <sheetViews>
    <sheetView showGridLines="0" showRowColHeaders="0" zoomScaleNormal="100" workbookViewId="0">
      <selection activeCell="J19" sqref="J19"/>
    </sheetView>
  </sheetViews>
  <sheetFormatPr defaultColWidth="9.109375" defaultRowHeight="13.8" x14ac:dyDescent="0.3"/>
  <cols>
    <col min="1" max="1" width="3" style="8" customWidth="1"/>
    <col min="2" max="2" width="3.33203125" style="8" customWidth="1"/>
    <col min="3" max="3" width="0.88671875" style="8" customWidth="1"/>
    <col min="4" max="4" width="15.88671875" style="9" customWidth="1"/>
    <col min="5" max="5" width="2.21875" style="9" customWidth="1"/>
    <col min="6" max="10" width="8.88671875" style="10" customWidth="1"/>
    <col min="11" max="11" width="3.88671875" style="8" customWidth="1"/>
    <col min="12" max="16384" width="9.109375" style="8"/>
  </cols>
  <sheetData>
    <row r="1" spans="1:11" ht="10.199999999999999" x14ac:dyDescent="0.2">
      <c r="A1" s="13" t="s">
        <v>4</v>
      </c>
      <c r="B1" s="7"/>
      <c r="C1" s="7"/>
      <c r="D1" s="7"/>
      <c r="E1" s="7"/>
      <c r="F1" s="9"/>
      <c r="G1" s="9"/>
      <c r="H1" s="8"/>
      <c r="I1" s="8"/>
      <c r="J1" s="8"/>
    </row>
    <row r="2" spans="1:11" s="3" customFormat="1" ht="9" customHeight="1" x14ac:dyDescent="0.45">
      <c r="D2" s="18"/>
      <c r="E2" s="18"/>
      <c r="F2" s="19"/>
    </row>
    <row r="3" spans="1:11" s="3" customFormat="1" ht="20.399999999999999" x14ac:dyDescent="0.45">
      <c r="C3" s="18" t="s">
        <v>12</v>
      </c>
      <c r="H3" s="20"/>
      <c r="I3" s="230"/>
      <c r="K3" s="230"/>
    </row>
    <row r="4" spans="1:11" s="2" customFormat="1" ht="12.6" x14ac:dyDescent="0.25">
      <c r="C4" s="14" t="s">
        <v>42</v>
      </c>
      <c r="F4" s="5"/>
    </row>
    <row r="5" spans="1:11" s="24" customFormat="1" ht="12.6" customHeight="1" x14ac:dyDescent="0.3">
      <c r="D5" s="39"/>
      <c r="E5" s="39"/>
      <c r="F5" s="39"/>
      <c r="G5" s="39"/>
      <c r="H5" s="23"/>
      <c r="I5" s="23"/>
    </row>
    <row r="6" spans="1:11" s="15" customFormat="1" ht="12.6" x14ac:dyDescent="0.3">
      <c r="B6" s="23"/>
      <c r="C6" s="23"/>
      <c r="F6" s="16" t="s">
        <v>124</v>
      </c>
      <c r="G6" s="16" t="s">
        <v>98</v>
      </c>
      <c r="H6" s="16" t="s">
        <v>97</v>
      </c>
      <c r="I6" s="16" t="s">
        <v>99</v>
      </c>
      <c r="J6" s="16" t="s">
        <v>100</v>
      </c>
    </row>
    <row r="7" spans="1:11" s="36" customFormat="1" ht="12.6" customHeight="1" x14ac:dyDescent="0.4">
      <c r="C7" s="239" t="s">
        <v>101</v>
      </c>
      <c r="D7" s="239"/>
      <c r="E7" s="239"/>
      <c r="F7" s="16"/>
      <c r="G7" s="16"/>
      <c r="H7" s="16"/>
      <c r="I7" s="16"/>
      <c r="J7" s="16"/>
    </row>
    <row r="8" spans="1:11" s="24" customFormat="1" ht="12.6" customHeight="1" x14ac:dyDescent="0.3">
      <c r="D8" s="147" t="s">
        <v>72</v>
      </c>
      <c r="E8" s="147"/>
      <c r="F8" s="108">
        <f>Shares!F8</f>
        <v>2.1012764994581925</v>
      </c>
      <c r="G8" s="108">
        <f>Shares!G8</f>
        <v>3</v>
      </c>
      <c r="H8" s="108">
        <f>Shares!H8</f>
        <v>6.5</v>
      </c>
      <c r="I8" s="108">
        <f>Shares!I8</f>
        <v>2.25</v>
      </c>
      <c r="J8" s="108">
        <f>Shares!J8</f>
        <v>4.95</v>
      </c>
    </row>
    <row r="9" spans="1:11" s="24" customFormat="1" ht="12.6" customHeight="1" x14ac:dyDescent="0.3">
      <c r="D9" s="152" t="s">
        <v>84</v>
      </c>
      <c r="E9" s="147"/>
      <c r="F9" s="149">
        <f>IFERROR(Shares!F15,"")</f>
        <v>7950.0558355398252</v>
      </c>
      <c r="G9" s="149">
        <f>IFERROR(Shares!G15,"")</f>
        <v>5286</v>
      </c>
      <c r="H9" s="149">
        <f>IFERROR(Shares!H15,"")</f>
        <v>6225</v>
      </c>
      <c r="I9" s="149">
        <f>IFERROR(Shares!I15,"")</f>
        <v>7270</v>
      </c>
      <c r="J9" s="149">
        <f>IFERROR(Shares!J15,"")</f>
        <v>8168</v>
      </c>
    </row>
    <row r="10" spans="1:11" s="24" customFormat="1" ht="12.6" customHeight="1" x14ac:dyDescent="0.3">
      <c r="D10" s="152" t="s">
        <v>13</v>
      </c>
      <c r="E10" s="147"/>
      <c r="F10" s="149" cm="1">
        <f t="array" ref="F10">IFERROR(SUMPRODUCT((Funding!$S$10:$W$10&lt;Shares!F$8)*Funding!$S$8:$W$8)  *  (1-(Shares!F12/SUM(Funding!$S$8:$W$8)))   +   IF(Shares!F19&lt;Shares!F$8,Shares!F18,0),"")</f>
        <v>120</v>
      </c>
      <c r="G10" s="149" cm="1">
        <f t="array" ref="G10">IFERROR(SUMPRODUCT((Funding!$S$10:$W$10&lt;Shares!G$8)*Funding!$S$8:$W$8)  *  (1-(Shares!G12/SUM(Funding!$S$8:$W$8)))   +   IF(Shares!G19&lt;Shares!G$8,Shares!G18,0),"")</f>
        <v>69</v>
      </c>
      <c r="H10" s="149" cm="1">
        <f t="array" ref="H10">IFERROR(SUMPRODUCT((Funding!$S$10:$W$10&lt;Shares!H$8)*Funding!$S$8:$W$8)  *  (1-(Shares!H12/SUM(Funding!$S$8:$W$8)))   +   IF(Shares!H19&lt;Shares!H$8,Shares!H18,0),"")</f>
        <v>105</v>
      </c>
      <c r="I10" s="149" cm="1">
        <f t="array" ref="I10">IFERROR(SUMPRODUCT((Funding!$S$10:$W$10&lt;Shares!I$8)*Funding!$S$8:$W$8)  *  (1-(Shares!I12/SUM(Funding!$S$8:$W$8)))   +   IF(Shares!I19&lt;Shares!I$8,Shares!I18,0),"")</f>
        <v>50</v>
      </c>
      <c r="J10" s="149" cm="1">
        <f t="array" ref="J10">IFERROR(SUMPRODUCT((Funding!$S$10:$W$10&lt;Shares!J$8)*Funding!$S$8:$W$8)  *  (1-(Shares!J12/SUM(Funding!$S$8:$W$8)))   +   IF(Shares!J19&lt;Shares!J$8,Shares!J18,0),"")</f>
        <v>340</v>
      </c>
    </row>
    <row r="11" spans="1:11" s="24" customFormat="1" ht="12.6" customHeight="1" x14ac:dyDescent="0.3">
      <c r="D11" s="152" t="s">
        <v>14</v>
      </c>
      <c r="E11" s="147"/>
      <c r="F11" s="149" cm="1">
        <f t="array" ref="F11">IFERROR(SUMPRODUCT((Funding!$S$18:$W$18&lt;Shares!F$8)*Funding!$S$16:$W$16)   *   (1-(Shares!F13/SUM(Funding!$S$16:$W$16)))   +   IF(Shares!F22&lt;Shares!F$8,Shares!F21,0),"")</f>
        <v>39.999999999999993</v>
      </c>
      <c r="G11" s="149" cm="1">
        <f t="array" ref="G11">IFERROR(SUMPRODUCT((Funding!$S$18:$W$18&lt;Shares!G$8)*Funding!$S$16:$W$16)   *   (1-(Shares!G13/SUM(Funding!$S$16:$W$16)))   +   IF(Shares!G22&lt;Shares!G$8,Shares!G21,0),"")</f>
        <v>39.999999999999993</v>
      </c>
      <c r="H11" s="149" cm="1">
        <f t="array" ref="H11">IFERROR(SUMPRODUCT((Funding!$S$18:$W$18&lt;Shares!H$8)*Funding!$S$16:$W$16)   *   (1-(Shares!H13/SUM(Funding!$S$16:$W$16)))   +   IF(Shares!H22&lt;Shares!H$8,Shares!H21,0),"")</f>
        <v>95</v>
      </c>
      <c r="I11" s="149" cm="1">
        <f t="array" ref="I11">IFERROR(SUMPRODUCT((Funding!$S$18:$W$18&lt;Shares!I$8)*Funding!$S$16:$W$16)   *   (1-(Shares!I13/SUM(Funding!$S$16:$W$16)))   +   IF(Shares!I22&lt;Shares!I$8,Shares!I21,0),"")</f>
        <v>30</v>
      </c>
      <c r="J11" s="149" cm="1">
        <f t="array" ref="J11">IFERROR(SUMPRODUCT((Funding!$S$18:$W$18&lt;Shares!J$8)*Funding!$S$16:$W$16)   *   (1-(Shares!J13/SUM(Funding!$S$16:$W$16)))   +   IF(Shares!J22&lt;Shares!J$8,Shares!J21,0),"")</f>
        <v>41.999999999999993</v>
      </c>
    </row>
    <row r="12" spans="1:11" s="24" customFormat="1" ht="12.6" customHeight="1" x14ac:dyDescent="0.3">
      <c r="D12" s="153" t="s">
        <v>58</v>
      </c>
      <c r="E12" s="147"/>
      <c r="F12" s="150">
        <f>IFERROR(Shares!F30,"")</f>
        <v>181.71556195519599</v>
      </c>
      <c r="G12" s="150">
        <f>IFERROR(Shares!G30,"")</f>
        <v>176.20000000000002</v>
      </c>
      <c r="H12" s="150">
        <f>IFERROR(Shares!H30,"")</f>
        <v>108.9375</v>
      </c>
      <c r="I12" s="150">
        <f>IFERROR(Shares!I30,"")</f>
        <v>165.22727272727272</v>
      </c>
      <c r="J12" s="150">
        <f>IFERROR(Shares!J30,"")</f>
        <v>194.47619047619045</v>
      </c>
    </row>
    <row r="13" spans="1:11" s="36" customFormat="1" ht="12.6" customHeight="1" x14ac:dyDescent="0.3">
      <c r="D13" s="151" t="s">
        <v>83</v>
      </c>
      <c r="E13" s="147"/>
      <c r="F13" s="111">
        <f>SUM(F9:F12)</f>
        <v>8291.771397495022</v>
      </c>
      <c r="G13" s="111">
        <f t="shared" ref="G13:J13" si="0">SUM(G9:G12)</f>
        <v>5571.2</v>
      </c>
      <c r="H13" s="111">
        <f t="shared" si="0"/>
        <v>6533.9375</v>
      </c>
      <c r="I13" s="111">
        <f t="shared" si="0"/>
        <v>7515.227272727273</v>
      </c>
      <c r="J13" s="111">
        <f t="shared" si="0"/>
        <v>8744.4761904761908</v>
      </c>
    </row>
    <row r="14" spans="1:11" s="36" customFormat="1" ht="12.6" customHeight="1" x14ac:dyDescent="0.3">
      <c r="D14" s="118" t="s">
        <v>87</v>
      </c>
      <c r="E14" s="118"/>
      <c r="F14" s="30">
        <f>+F8*F13</f>
        <v>17423.304376435906</v>
      </c>
      <c r="G14" s="30">
        <f>+G8*G13</f>
        <v>16713.599999999999</v>
      </c>
      <c r="H14" s="30">
        <f>+H8*H13</f>
        <v>42470.59375</v>
      </c>
      <c r="I14" s="30">
        <f>+I8*I13</f>
        <v>16909.261363636364</v>
      </c>
      <c r="J14" s="30">
        <f>+J8*J13</f>
        <v>43285.157142857148</v>
      </c>
    </row>
    <row r="15" spans="1:11" s="24" customFormat="1" ht="15" customHeight="1" x14ac:dyDescent="0.25">
      <c r="D15" s="50"/>
      <c r="E15" s="50"/>
      <c r="F15" s="110"/>
      <c r="G15" s="110"/>
      <c r="H15" s="110"/>
      <c r="I15" s="110"/>
      <c r="J15" s="110"/>
    </row>
    <row r="16" spans="1:11" s="36" customFormat="1" ht="12.6" customHeight="1" x14ac:dyDescent="0.4">
      <c r="A16" s="24"/>
      <c r="C16" s="252" t="s">
        <v>102</v>
      </c>
      <c r="D16" s="252"/>
      <c r="E16" s="252"/>
      <c r="F16" s="17"/>
      <c r="G16" s="46"/>
      <c r="H16" s="46"/>
      <c r="I16" s="46"/>
      <c r="J16" s="46"/>
    </row>
    <row r="17" spans="1:10" s="36" customFormat="1" ht="12.6" customHeight="1" x14ac:dyDescent="0.3">
      <c r="D17" s="26" t="s">
        <v>69</v>
      </c>
      <c r="E17" s="26"/>
      <c r="F17" s="32">
        <f>IFERROR(IF(F$8&lt;Funding!$L$30*Funding!$M$24,-((Funding!$I$24*Funding!$M$24)+(Funding!$J$24*Funding!$M$25)+(Funding!$K$24*Funding!$M$26)),""),"")</f>
        <v>-4167.3923025401309</v>
      </c>
      <c r="G17" s="32" t="str">
        <f>IFERROR(IF(G$8&lt;Funding!$L$30*Funding!$M$24,-((Funding!$I$24*Funding!$M$24)+(Funding!$J$24*Funding!$M$25)+(Funding!$K$24*Funding!$M$26)),""),"")</f>
        <v/>
      </c>
      <c r="H17" s="32" t="str">
        <f>IFERROR(IF(H$8&lt;Funding!$L$30*Funding!$M$24,-((Funding!$I$24*Funding!$M$24)+(Funding!$J$24*Funding!$M$25)+(Funding!$K$24*Funding!$M$26)),""),"")</f>
        <v/>
      </c>
      <c r="I17" s="32">
        <f>IFERROR(IF(I$8&lt;Funding!$L$30*Funding!$M$24,-((Funding!$I$24*Funding!$M$24)+(Funding!$J$24*Funding!$M$25)+(Funding!$K$24*Funding!$M$26)),""),"")</f>
        <v>-4167.3923025401309</v>
      </c>
      <c r="J17" s="32" t="str">
        <f>IFERROR(IF(J$8&lt;Funding!$L$30*Funding!$M$24,-((Funding!$I$24*Funding!$M$24)+(Funding!$J$24*Funding!$M$25)+(Funding!$K$24*Funding!$M$26)),""),"")</f>
        <v/>
      </c>
    </row>
    <row r="18" spans="1:10" s="36" customFormat="1" ht="12.6" customHeight="1" x14ac:dyDescent="0.3">
      <c r="D18" s="26" t="s">
        <v>70</v>
      </c>
      <c r="E18" s="26"/>
      <c r="F18" s="32" t="str">
        <f>IFERROR(IF(F$8&lt;Funding!$L$30*Funding!$M$25,-(Funding!$J$25*Funding!$M$25+Funding!$K$25*Funding!$M$26),""),"")</f>
        <v/>
      </c>
      <c r="G18" s="32" t="str">
        <f>IFERROR(IF(G$8&lt;Funding!$L$30*Funding!$M$25,-(Funding!$J$25*Funding!$M$25+Funding!$K$25*Funding!$M$26),""),"")</f>
        <v/>
      </c>
      <c r="H18" s="32" t="str">
        <f>IFERROR(IF(H$8&lt;Funding!$L$30*Funding!$M$25,-(Funding!$J$25*Funding!$M$25+Funding!$K$25*Funding!$M$26),""),"")</f>
        <v/>
      </c>
      <c r="I18" s="32" t="str">
        <f>IFERROR(IF(I$8&lt;Funding!$L$30*Funding!$M$25,-(Funding!$J$25*Funding!$M$25+Funding!$K$25*Funding!$M$26),""),"")</f>
        <v/>
      </c>
      <c r="J18" s="32" t="str">
        <f>IFERROR(IF(J$8&lt;Funding!$L$30*Funding!$M$25,-(Funding!$J$25*Funding!$M$25+Funding!$K$25*Funding!$M$26),""),"")</f>
        <v/>
      </c>
    </row>
    <row r="19" spans="1:10" s="36" customFormat="1" ht="12.6" customHeight="1" x14ac:dyDescent="0.3">
      <c r="D19" s="82" t="s">
        <v>71</v>
      </c>
      <c r="E19" s="47"/>
      <c r="F19" s="40" t="str">
        <f>IFERROR(IF(F$8&lt;Funding!$L$30*Funding!$M$26,-(Funding!$K$26*Funding!$M$26),""),"")</f>
        <v/>
      </c>
      <c r="G19" s="40" t="str">
        <f>IFERROR(IF(G$8&lt;Funding!$L$30*Funding!$M$26,-(Funding!$K$26*Funding!$M$26),""),"")</f>
        <v/>
      </c>
      <c r="H19" s="40" t="str">
        <f>IFERROR(IF(H$8&lt;Funding!$L$30*Funding!$M$26,-(Funding!$K$26*Funding!$M$26),""),"")</f>
        <v/>
      </c>
      <c r="I19" s="40" t="str">
        <f>IFERROR(IF(I$8&lt;Funding!$L$30*Funding!$M$26,-(Funding!$K$26*Funding!$M$26),""),"")</f>
        <v/>
      </c>
      <c r="J19" s="40" t="str">
        <f>IFERROR(IF(J$8&lt;Funding!$L$30*Funding!$M$26,-(Funding!$K$26*Funding!$M$26),""),"")</f>
        <v/>
      </c>
    </row>
    <row r="20" spans="1:10" s="24" customFormat="1" ht="12.6" customHeight="1" x14ac:dyDescent="0.3">
      <c r="D20" s="118" t="s">
        <v>86</v>
      </c>
      <c r="E20" s="34"/>
      <c r="F20" s="35">
        <f>IF(SUM(F17:F19)=0,"",SUM(F17:F19))</f>
        <v>-4167.3923025401309</v>
      </c>
      <c r="G20" s="35" t="str">
        <f t="shared" ref="G20:J20" si="1">IF(SUM(G17:G19)=0,"",SUM(G17:G19))</f>
        <v/>
      </c>
      <c r="H20" s="35" t="str">
        <f t="shared" si="1"/>
        <v/>
      </c>
      <c r="I20" s="35">
        <f t="shared" si="1"/>
        <v>-4167.3923025401309</v>
      </c>
      <c r="J20" s="35" t="str">
        <f t="shared" si="1"/>
        <v/>
      </c>
    </row>
    <row r="21" spans="1:10" s="24" customFormat="1" ht="15" customHeight="1" x14ac:dyDescent="0.25">
      <c r="D21" s="50"/>
      <c r="E21" s="50"/>
      <c r="F21" s="110"/>
      <c r="G21" s="110"/>
      <c r="H21" s="110"/>
      <c r="I21" s="110"/>
      <c r="J21" s="110"/>
    </row>
    <row r="22" spans="1:10" s="36" customFormat="1" ht="12.6" customHeight="1" x14ac:dyDescent="0.3">
      <c r="A22" s="24"/>
      <c r="C22" s="254" t="s">
        <v>103</v>
      </c>
      <c r="D22" s="254"/>
      <c r="F22" s="17"/>
      <c r="G22" s="46"/>
      <c r="H22" s="46"/>
      <c r="I22" s="46"/>
      <c r="J22" s="46"/>
    </row>
    <row r="23" spans="1:10" s="24" customFormat="1" ht="12.6" customHeight="1" x14ac:dyDescent="0.3">
      <c r="B23" s="42"/>
      <c r="C23" s="42"/>
      <c r="D23" s="38" t="s">
        <v>81</v>
      </c>
      <c r="E23" s="38"/>
      <c r="F23" s="41" cm="1">
        <f t="array" ref="F23">IFERROR(Shares!F12*SUMPRODUCT((Funding!$S$10:$W$10&lt;F$8)*Funding!$S$8:$W$8*Funding!$S$10:$W$10) / SUMPRODUCT((Funding!$S$10:$W$10&lt;F$8)*Funding!$S$8:$W$8),"")</f>
        <v>118.6940464293456</v>
      </c>
      <c r="G23" s="41" cm="1">
        <f t="array" ref="G23">IFERROR(Shares!G12*SUMPRODUCT((Funding!$S$10:$W$10&lt;G$8)*Funding!$S$8:$W$8*Funding!$S$10:$W$10) / SUMPRODUCT((Funding!$S$10:$W$10&lt;G$8)*Funding!$S$8:$W$8),"")</f>
        <v>194.36150102805342</v>
      </c>
      <c r="H23" s="41" cm="1">
        <f t="array" ref="H23">IFERROR(Shares!H12*SUMPRODUCT((Funding!$S$10:$W$10&lt;H$8)*Funding!$S$8:$W$8*Funding!$S$10:$W$10) / SUMPRODUCT((Funding!$S$10:$W$10&lt;H$8)*Funding!$S$8:$W$8),"")</f>
        <v>215.13295915318889</v>
      </c>
      <c r="I23" s="41" cm="1">
        <f t="array" ref="I23">IFERROR(Shares!I12*SUMPRODUCT((Funding!$S$10:$W$10&lt;I$8)*Funding!$S$8:$W$8*Funding!$S$10:$W$10) / SUMPRODUCT((Funding!$S$10:$W$10&lt;I$8)*Funding!$S$8:$W$8),"")</f>
        <v>222.551337055023</v>
      </c>
      <c r="J23" s="41" cm="1">
        <f t="array" ref="J23">IFERROR(Shares!J12*SUMPRODUCT((Funding!$S$10:$W$10&lt;J$8)*Funding!$S$8:$W$8*Funding!$S$10:$W$10) / SUMPRODUCT((Funding!$S$10:$W$10&lt;J$8)*Funding!$S$8:$W$8),"")</f>
        <v>237.38809285869121</v>
      </c>
    </row>
    <row r="24" spans="1:10" s="24" customFormat="1" ht="12.6" customHeight="1" x14ac:dyDescent="0.3">
      <c r="D24" s="43" t="s">
        <v>82</v>
      </c>
      <c r="E24" s="27"/>
      <c r="F24" s="49" cm="1">
        <f t="array" ref="F24">IFERROR(Shares!F13*SUMPRODUCT((Funding!$S$18:$W$18&lt;F$8)*Funding!$S$16:$W$16*Funding!$S$18:$W$18) / SUMPRODUCT((Funding!$S$18:$W$18&lt;F$8)*Funding!$S$16:$W$16),"")</f>
        <v>123.30992601270906</v>
      </c>
      <c r="G24" s="49" cm="1">
        <f t="array" ref="G24">IFERROR(Shares!G13*SUMPRODUCT((Funding!$S$18:$W$18&lt;G$8)*Funding!$S$16:$W$16*Funding!$S$18:$W$18) / SUMPRODUCT((Funding!$S$18:$W$18&lt;G$8)*Funding!$S$16:$W$16),"")</f>
        <v>123.30992601270906</v>
      </c>
      <c r="H24" s="49" cm="1">
        <f t="array" ref="H24">IFERROR(Shares!H13*SUMPRODUCT((Funding!$S$18:$W$18&lt;H$8)*Funding!$S$16:$W$16*Funding!$S$18:$W$18) / SUMPRODUCT((Funding!$S$18:$W$18&lt;H$8)*Funding!$S$16:$W$16),"")</f>
        <v>116.05640095313792</v>
      </c>
      <c r="I24" s="49" cm="1">
        <f t="array" ref="I24">IFERROR(Shares!I13*SUMPRODUCT((Funding!$S$18:$W$18&lt;I$8)*Funding!$S$16:$W$16*Funding!$S$18:$W$18) / SUMPRODUCT((Funding!$S$18:$W$18&lt;I$8)*Funding!$S$16:$W$16),"")</f>
        <v>137.81697613185128</v>
      </c>
      <c r="J24" s="49" cm="1">
        <f t="array" ref="J24">IFERROR(Shares!J13*SUMPRODUCT((Funding!$S$18:$W$18&lt;J$8)*Funding!$S$16:$W$16*Funding!$S$18:$W$18) / SUMPRODUCT((Funding!$S$18:$W$18&lt;J$8)*Funding!$S$16:$W$16),"")</f>
        <v>120.40851598888059</v>
      </c>
    </row>
    <row r="25" spans="1:10" s="24" customFormat="1" ht="12.6" customHeight="1" x14ac:dyDescent="0.3">
      <c r="D25" s="118" t="s">
        <v>85</v>
      </c>
      <c r="E25" s="34"/>
      <c r="F25" s="169">
        <f>IF(SUM(F23:F24)=0,"",SUM(F23:F24))</f>
        <v>242.00397244205465</v>
      </c>
      <c r="G25" s="169">
        <f t="shared" ref="G25:J25" si="2">IF(SUM(G23:G24)=0,"",SUM(G23:G24))</f>
        <v>317.67142704076247</v>
      </c>
      <c r="H25" s="169">
        <f t="shared" si="2"/>
        <v>331.18936010632683</v>
      </c>
      <c r="I25" s="169">
        <f t="shared" si="2"/>
        <v>360.36831318687427</v>
      </c>
      <c r="J25" s="169">
        <f t="shared" si="2"/>
        <v>357.7966088475718</v>
      </c>
    </row>
    <row r="26" spans="1:10" s="24" customFormat="1" ht="15" customHeight="1" x14ac:dyDescent="0.25">
      <c r="D26" s="50"/>
      <c r="E26" s="50"/>
      <c r="F26" s="110"/>
      <c r="G26" s="110"/>
      <c r="H26" s="110"/>
      <c r="I26" s="110"/>
      <c r="J26" s="110"/>
    </row>
    <row r="27" spans="1:10" ht="15" customHeight="1" x14ac:dyDescent="0.2">
      <c r="C27" s="253" t="s">
        <v>105</v>
      </c>
      <c r="D27" s="253"/>
      <c r="E27" s="24"/>
      <c r="F27" s="35">
        <f>IF(SUM(F14,F20,F25)=0,0,SUM(F14,F20,F25))</f>
        <v>13497.91604633783</v>
      </c>
      <c r="G27" s="35">
        <f t="shared" ref="G27:J27" si="3">IF(SUM(G14,G20,G25)=0,0,SUM(G14,G20,G25))</f>
        <v>17031.27142704076</v>
      </c>
      <c r="H27" s="35">
        <f t="shared" si="3"/>
        <v>42801.783110106328</v>
      </c>
      <c r="I27" s="35">
        <f t="shared" si="3"/>
        <v>13102.237374283108</v>
      </c>
      <c r="J27" s="35">
        <f t="shared" si="3"/>
        <v>43642.953751704721</v>
      </c>
    </row>
    <row r="28" spans="1:10" s="24" customFormat="1" ht="15" customHeight="1" x14ac:dyDescent="0.3">
      <c r="C28" s="253" t="s">
        <v>106</v>
      </c>
      <c r="D28" s="253"/>
      <c r="E28" s="33"/>
      <c r="F28" s="35">
        <f>IFERROR(Shares!F8*Shares!F15,"")</f>
        <v>16705.265496600299</v>
      </c>
      <c r="G28" s="35">
        <f>IFERROR(Shares!G8*Shares!G15,"")</f>
        <v>15858</v>
      </c>
      <c r="H28" s="35">
        <f>IFERROR(Shares!H8*Shares!H15,"")</f>
        <v>40462.5</v>
      </c>
      <c r="I28" s="35">
        <f>IFERROR(Shares!I8*Shares!I15,"")</f>
        <v>16357.5</v>
      </c>
      <c r="J28" s="35">
        <f>IFERROR(Shares!J8*Shares!J15,"")</f>
        <v>40431.599999999999</v>
      </c>
    </row>
  </sheetData>
  <sheetProtection algorithmName="SHA-512" hashValue="B14drReFb7J/Bw0u4jK+9Vu1MPxZ+oBJ0bvWyiDQ2Bh/jnBZx7xd6hnGBRxuIWt3O4WvXpo3GvB/Sfu/5pzf3A==" saltValue="jGRrNrdFujvAPDxoYXHb0g==" spinCount="100000" sheet="1" objects="1" scenarios="1" selectLockedCells="1" selectUnlockedCells="1"/>
  <mergeCells count="5">
    <mergeCell ref="C28:D28"/>
    <mergeCell ref="C27:D27"/>
    <mergeCell ref="C7:E7"/>
    <mergeCell ref="C16:E16"/>
    <mergeCell ref="C22:D22"/>
  </mergeCells>
  <printOptions horizontalCentered="1"/>
  <pageMargins left="0.5" right="0.5" top="0.75" bottom="0.75" header="0.3" footer="0.3"/>
  <pageSetup orientation="landscape" r:id="rId1"/>
  <headerFooter scaleWithDoc="0" alignWithMargins="0">
    <oddFooter>&amp;L&amp;10Equity Value&amp;R&amp;10Updated &amp;D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ℹ️ </vt:lpstr>
      <vt:lpstr>Funding</vt:lpstr>
      <vt:lpstr>Cap</vt:lpstr>
      <vt:lpstr>Shares</vt:lpstr>
      <vt:lpstr>Equity</vt:lpstr>
      <vt:lpstr>Cap!Print_Area</vt:lpstr>
      <vt:lpstr>Equity!Print_Area</vt:lpstr>
      <vt:lpstr>Funding!Print_Area</vt:lpstr>
      <vt:lpstr>'ℹ️ '!Print_Area</vt:lpstr>
      <vt:lpstr>Shares!Print_Area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2026-10-06T07:06:18Z</dcterms:created>
  <dcterms:modified xsi:type="dcterms:W3CDTF">2026-10-07T05:25:00Z</dcterms:modified>
</cp:coreProperties>
</file>