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ScottsFiles\Documents\Work\Models\Decision Maker\"/>
    </mc:Choice>
  </mc:AlternateContent>
  <xr:revisionPtr revIDLastSave="0" documentId="13_ncr:1_{C9F8BAF5-B4C1-4735-81DA-F26F611BC2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isionMaker" sheetId="6" r:id="rId1"/>
  </sheets>
  <definedNames>
    <definedName name="_xlnm.Print_Area" localSheetId="0">DecisionMaker!$C$2:$N$26,DecisionMaker!$B$92:$N$113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2" i="6" l="1"/>
  <c r="CL12" i="6"/>
  <c r="CL20" i="6"/>
  <c r="CL21" i="6"/>
  <c r="CL13" i="6"/>
  <c r="CL14" i="6"/>
  <c r="CL15" i="6"/>
  <c r="CL16" i="6"/>
  <c r="CL17" i="6"/>
  <c r="CL18" i="6"/>
  <c r="CL19" i="6"/>
  <c r="BJ12" i="6"/>
  <c r="BZ13" i="6" l="1"/>
  <c r="BZ14" i="6"/>
  <c r="BZ15" i="6"/>
  <c r="BZ16" i="6"/>
  <c r="BZ17" i="6"/>
  <c r="BZ18" i="6"/>
  <c r="BZ19" i="6"/>
  <c r="BZ20" i="6"/>
  <c r="BZ21" i="6"/>
  <c r="BZ22" i="6"/>
  <c r="BZ23" i="6"/>
  <c r="BZ12" i="6"/>
  <c r="BY13" i="6"/>
  <c r="BY14" i="6"/>
  <c r="BY15" i="6"/>
  <c r="BY16" i="6"/>
  <c r="BY17" i="6"/>
  <c r="BY18" i="6"/>
  <c r="BY19" i="6"/>
  <c r="BY20" i="6"/>
  <c r="BY21" i="6"/>
  <c r="BY22" i="6"/>
  <c r="BY23" i="6"/>
  <c r="BY12" i="6"/>
  <c r="BX13" i="6"/>
  <c r="BX14" i="6"/>
  <c r="BX15" i="6"/>
  <c r="BX16" i="6"/>
  <c r="BX17" i="6"/>
  <c r="BX18" i="6"/>
  <c r="BX19" i="6"/>
  <c r="BX20" i="6"/>
  <c r="BX21" i="6"/>
  <c r="BX22" i="6"/>
  <c r="BX23" i="6"/>
  <c r="BX12" i="6"/>
  <c r="BW13" i="6"/>
  <c r="BW14" i="6"/>
  <c r="BW15" i="6"/>
  <c r="BW16" i="6"/>
  <c r="BW17" i="6"/>
  <c r="BW18" i="6"/>
  <c r="BW19" i="6"/>
  <c r="BW20" i="6"/>
  <c r="BW21" i="6"/>
  <c r="BW22" i="6"/>
  <c r="BW23" i="6"/>
  <c r="BW12" i="6"/>
  <c r="BS23" i="6"/>
  <c r="BR23" i="6"/>
  <c r="BQ23" i="6"/>
  <c r="BP23" i="6"/>
  <c r="BO23" i="6"/>
  <c r="BN23" i="6"/>
  <c r="BM23" i="6"/>
  <c r="BL23" i="6"/>
  <c r="BK23" i="6"/>
  <c r="BJ23" i="6"/>
  <c r="BS22" i="6"/>
  <c r="BR22" i="6"/>
  <c r="BQ22" i="6"/>
  <c r="BP22" i="6"/>
  <c r="BO22" i="6"/>
  <c r="BN22" i="6"/>
  <c r="BM22" i="6"/>
  <c r="BL22" i="6"/>
  <c r="BK22" i="6"/>
  <c r="BS21" i="6"/>
  <c r="BR21" i="6"/>
  <c r="BQ21" i="6"/>
  <c r="BP21" i="6"/>
  <c r="BO21" i="6"/>
  <c r="BN21" i="6"/>
  <c r="BM21" i="6"/>
  <c r="BL21" i="6"/>
  <c r="BK21" i="6"/>
  <c r="BJ21" i="6"/>
  <c r="BS20" i="6"/>
  <c r="BR20" i="6"/>
  <c r="BQ20" i="6"/>
  <c r="BP20" i="6"/>
  <c r="BO20" i="6"/>
  <c r="BN20" i="6"/>
  <c r="BM20" i="6"/>
  <c r="BL20" i="6"/>
  <c r="BK20" i="6"/>
  <c r="BJ20" i="6"/>
  <c r="BS19" i="6"/>
  <c r="BR19" i="6"/>
  <c r="BQ19" i="6"/>
  <c r="BP19" i="6"/>
  <c r="BO19" i="6"/>
  <c r="BN19" i="6"/>
  <c r="BM19" i="6"/>
  <c r="BL19" i="6"/>
  <c r="BK19" i="6"/>
  <c r="BJ19" i="6"/>
  <c r="BS18" i="6"/>
  <c r="BR18" i="6"/>
  <c r="BQ18" i="6"/>
  <c r="BP18" i="6"/>
  <c r="BO18" i="6"/>
  <c r="BN18" i="6"/>
  <c r="BM18" i="6"/>
  <c r="BL18" i="6"/>
  <c r="BK18" i="6"/>
  <c r="BJ18" i="6"/>
  <c r="BS17" i="6"/>
  <c r="BR17" i="6"/>
  <c r="BQ17" i="6"/>
  <c r="BP17" i="6"/>
  <c r="BO17" i="6"/>
  <c r="BN17" i="6"/>
  <c r="BM17" i="6"/>
  <c r="BL17" i="6"/>
  <c r="BK17" i="6"/>
  <c r="BJ17" i="6"/>
  <c r="BS16" i="6"/>
  <c r="BR16" i="6"/>
  <c r="BQ16" i="6"/>
  <c r="BP16" i="6"/>
  <c r="BO16" i="6"/>
  <c r="BN16" i="6"/>
  <c r="BM16" i="6"/>
  <c r="BL16" i="6"/>
  <c r="BK16" i="6"/>
  <c r="BJ16" i="6"/>
  <c r="BS15" i="6"/>
  <c r="BR15" i="6"/>
  <c r="BQ15" i="6"/>
  <c r="BP15" i="6"/>
  <c r="BO15" i="6"/>
  <c r="BN15" i="6"/>
  <c r="BM15" i="6"/>
  <c r="BL15" i="6"/>
  <c r="BK15" i="6"/>
  <c r="BJ15" i="6"/>
  <c r="BS14" i="6"/>
  <c r="BR14" i="6"/>
  <c r="BQ14" i="6"/>
  <c r="BP14" i="6"/>
  <c r="BO14" i="6"/>
  <c r="BN14" i="6"/>
  <c r="BM14" i="6"/>
  <c r="BL14" i="6"/>
  <c r="BK14" i="6"/>
  <c r="BJ14" i="6"/>
  <c r="BS13" i="6"/>
  <c r="BR13" i="6"/>
  <c r="BQ13" i="6"/>
  <c r="BP13" i="6"/>
  <c r="BO13" i="6"/>
  <c r="BN13" i="6"/>
  <c r="BM13" i="6"/>
  <c r="BL13" i="6"/>
  <c r="BK13" i="6"/>
  <c r="BJ13" i="6"/>
  <c r="BS12" i="6"/>
  <c r="BR12" i="6"/>
  <c r="BQ12" i="6"/>
  <c r="BP12" i="6"/>
  <c r="BO12" i="6"/>
  <c r="BN12" i="6"/>
  <c r="BM12" i="6"/>
  <c r="BL12" i="6"/>
  <c r="BK12" i="6"/>
  <c r="BT12" i="6" l="1"/>
  <c r="BT16" i="6"/>
  <c r="BT20" i="6"/>
  <c r="BT17" i="6"/>
  <c r="BT21" i="6"/>
  <c r="BT14" i="6"/>
  <c r="BT18" i="6"/>
  <c r="BT22" i="6"/>
  <c r="BT13" i="6"/>
  <c r="BT15" i="6"/>
  <c r="BT19" i="6"/>
  <c r="BT23" i="6"/>
  <c r="BK11" i="6"/>
  <c r="CK13" i="6" s="1"/>
  <c r="BL11" i="6"/>
  <c r="CK14" i="6" s="1"/>
  <c r="BM11" i="6"/>
  <c r="CK15" i="6" s="1"/>
  <c r="BN11" i="6"/>
  <c r="CK16" i="6" s="1"/>
  <c r="BO11" i="6"/>
  <c r="CK17" i="6" s="1"/>
  <c r="BP11" i="6"/>
  <c r="CK18" i="6" s="1"/>
  <c r="BQ11" i="6"/>
  <c r="CK19" i="6" s="1"/>
  <c r="BR11" i="6"/>
  <c r="CK20" i="6" s="1"/>
  <c r="BS11" i="6"/>
  <c r="CK21" i="6" s="1"/>
  <c r="BJ11" i="6"/>
  <c r="CK12" i="6" s="1"/>
  <c r="BI23" i="6"/>
  <c r="BI22" i="6"/>
  <c r="BI21" i="6"/>
  <c r="BI20" i="6"/>
  <c r="BI19" i="6"/>
  <c r="BI18" i="6"/>
  <c r="BI17" i="6"/>
  <c r="BI16" i="6"/>
  <c r="BI15" i="6"/>
  <c r="BI14" i="6"/>
  <c r="BI13" i="6"/>
  <c r="BU12" i="6" l="1"/>
  <c r="BI12" i="6"/>
  <c r="BU19" i="6" l="1"/>
  <c r="BU20" i="6"/>
  <c r="BU16" i="6"/>
  <c r="BU18" i="6"/>
  <c r="BU15" i="6"/>
  <c r="BU17" i="6"/>
  <c r="BU23" i="6"/>
  <c r="BU14" i="6"/>
  <c r="BU21" i="6"/>
  <c r="BU22" i="6"/>
  <c r="BU13" i="6"/>
  <c r="CC12" i="6" l="1"/>
  <c r="CD12" i="6" s="1"/>
  <c r="CC16" i="6"/>
  <c r="CD16" i="6" s="1"/>
  <c r="CC17" i="6"/>
  <c r="CD17" i="6" s="1"/>
  <c r="CC18" i="6"/>
  <c r="CD18" i="6" s="1"/>
  <c r="CC19" i="6"/>
  <c r="CD19" i="6" s="1"/>
  <c r="CC20" i="6"/>
  <c r="CD20" i="6" s="1"/>
  <c r="CC13" i="6"/>
  <c r="CD13" i="6" s="1"/>
  <c r="CC21" i="6"/>
  <c r="CD21" i="6" s="1"/>
  <c r="CC14" i="6"/>
  <c r="CD14" i="6" s="1"/>
  <c r="CC22" i="6"/>
  <c r="CD22" i="6" s="1"/>
  <c r="CC15" i="6"/>
  <c r="CD15" i="6" s="1"/>
  <c r="CC23" i="6"/>
  <c r="CD23" i="6" s="1"/>
  <c r="CN15" i="6" l="1"/>
  <c r="CM17" i="6"/>
  <c r="CN14" i="6"/>
  <c r="CM16" i="6"/>
  <c r="CN21" i="6"/>
  <c r="CN13" i="6"/>
  <c r="CM15" i="6"/>
  <c r="CN20" i="6"/>
  <c r="CN12" i="6"/>
  <c r="CM14" i="6"/>
  <c r="CM19" i="6"/>
  <c r="CN19" i="6"/>
  <c r="CM21" i="6"/>
  <c r="CM13" i="6"/>
  <c r="CN17" i="6"/>
  <c r="CN18" i="6"/>
  <c r="CM20" i="6"/>
  <c r="CM12" i="6"/>
  <c r="CN16" i="6"/>
  <c r="CM18" i="6"/>
  <c r="CH12" i="6"/>
  <c r="CE12" i="6"/>
  <c r="CG12" i="6"/>
  <c r="CF12" i="6"/>
  <c r="CG14" i="6"/>
  <c r="CE14" i="6"/>
  <c r="CH14" i="6"/>
  <c r="CF14" i="6"/>
  <c r="CG20" i="6"/>
  <c r="CE20" i="6"/>
  <c r="CH20" i="6"/>
  <c r="CF20" i="6"/>
  <c r="CH13" i="6"/>
  <c r="CF13" i="6"/>
  <c r="CG13" i="6"/>
  <c r="CE13" i="6"/>
  <c r="CG19" i="6"/>
  <c r="CE19" i="6"/>
  <c r="CH19" i="6"/>
  <c r="CF19" i="6"/>
  <c r="CG18" i="6"/>
  <c r="CE18" i="6"/>
  <c r="CH18" i="6"/>
  <c r="CF18" i="6"/>
  <c r="CH23" i="6"/>
  <c r="CF23" i="6"/>
  <c r="CG23" i="6"/>
  <c r="CE23" i="6"/>
  <c r="CG17" i="6"/>
  <c r="CE17" i="6"/>
  <c r="CH17" i="6"/>
  <c r="CF17" i="6"/>
  <c r="CH21" i="6"/>
  <c r="CF21" i="6"/>
  <c r="CE21" i="6"/>
  <c r="CG21" i="6"/>
  <c r="CH15" i="6"/>
  <c r="CF15" i="6"/>
  <c r="CG15" i="6"/>
  <c r="CE15" i="6"/>
  <c r="CH22" i="6"/>
  <c r="CF22" i="6"/>
  <c r="CG22" i="6"/>
  <c r="CE22" i="6"/>
  <c r="CH16" i="6"/>
  <c r="CF16" i="6"/>
  <c r="CG16" i="6"/>
  <c r="CE16" i="6"/>
  <c r="B103" i="6"/>
  <c r="B108" i="6"/>
  <c r="B102" i="6"/>
  <c r="B100" i="6"/>
  <c r="B104" i="6"/>
  <c r="B98" i="6"/>
  <c r="K95" i="6" s="1"/>
  <c r="B106" i="6"/>
  <c r="B101" i="6"/>
  <c r="B107" i="6"/>
  <c r="B99" i="6"/>
  <c r="B105" i="6"/>
  <c r="B109" i="6"/>
  <c r="CJ18" i="6" l="1"/>
  <c r="CJ20" i="6"/>
  <c r="CJ17" i="6"/>
  <c r="CJ21" i="6"/>
  <c r="CJ19" i="6"/>
  <c r="CJ13" i="6"/>
  <c r="CJ16" i="6"/>
  <c r="CJ14" i="6"/>
  <c r="CJ12" i="6"/>
  <c r="CJ15" i="6"/>
  <c r="N106" i="6" l="1"/>
  <c r="N104" i="6"/>
  <c r="N102" i="6"/>
  <c r="N100" i="6"/>
  <c r="N98" i="6"/>
  <c r="M99" i="6"/>
  <c r="K105" i="6"/>
  <c r="M106" i="6"/>
  <c r="M104" i="6"/>
  <c r="M102" i="6"/>
  <c r="M100" i="6"/>
  <c r="M98" i="6"/>
  <c r="M105" i="6"/>
  <c r="K107" i="6"/>
  <c r="L106" i="6"/>
  <c r="L104" i="6"/>
  <c r="L102" i="6"/>
  <c r="L100" i="6"/>
  <c r="L98" i="6"/>
  <c r="M103" i="6"/>
  <c r="K103" i="6"/>
  <c r="K106" i="6"/>
  <c r="K104" i="6"/>
  <c r="K102" i="6"/>
  <c r="K100" i="6"/>
  <c r="K98" i="6"/>
  <c r="M101" i="6"/>
  <c r="L103" i="6"/>
  <c r="N107" i="6"/>
  <c r="N105" i="6"/>
  <c r="N103" i="6"/>
  <c r="N101" i="6"/>
  <c r="N99" i="6"/>
  <c r="M107" i="6"/>
  <c r="L99" i="6"/>
  <c r="K99" i="6"/>
  <c r="L107" i="6"/>
  <c r="L105" i="6"/>
  <c r="L101" i="6"/>
  <c r="K10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8CF83A25-9550-4BD0-B045-453F359CF150}">
      <text/>
    </comment>
  </commentList>
</comments>
</file>

<file path=xl/sharedStrings.xml><?xml version="1.0" encoding="utf-8"?>
<sst xmlns="http://schemas.openxmlformats.org/spreadsheetml/2006/main" count="236" uniqueCount="52">
  <si>
    <t>Rank</t>
  </si>
  <si>
    <t>Score</t>
  </si>
  <si>
    <t>Important</t>
  </si>
  <si>
    <t>Excellent</t>
  </si>
  <si>
    <t>Good</t>
  </si>
  <si>
    <t>Fair</t>
  </si>
  <si>
    <t>Poor</t>
  </si>
  <si>
    <t>Essential</t>
  </si>
  <si>
    <t>Nice-to-have</t>
  </si>
  <si>
    <t>Option</t>
  </si>
  <si>
    <t>info</t>
  </si>
  <si>
    <t>Composite Score</t>
  </si>
  <si>
    <t># Excellent</t>
  </si>
  <si>
    <t># Good</t>
  </si>
  <si>
    <t># Fair</t>
  </si>
  <si>
    <t># Poor</t>
  </si>
  <si>
    <r>
      <t xml:space="preserve">Select each Criteria's level of </t>
    </r>
    <r>
      <rPr>
        <u/>
        <sz val="11"/>
        <color rgb="FF002060"/>
        <rFont val="Calibri"/>
        <family val="2"/>
        <scheme val="minor"/>
      </rPr>
      <t>Importance</t>
    </r>
    <r>
      <rPr>
        <sz val="11"/>
        <color rgb="FF002060"/>
        <rFont val="Calibri"/>
        <family val="2"/>
        <scheme val="minor"/>
      </rPr>
      <t xml:space="preserve">  </t>
    </r>
    <r>
      <rPr>
        <sz val="10"/>
        <color rgb="FF00206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Essential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9"/>
        <color rgb="FFC00000"/>
        <rFont val="Calibri"/>
        <family val="2"/>
        <scheme val="minor"/>
      </rPr>
      <t>/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Important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9"/>
        <color rgb="FFC00000"/>
        <rFont val="Calibri"/>
        <family val="2"/>
        <scheme val="minor"/>
      </rPr>
      <t>/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Nice-to-have</t>
    </r>
  </si>
  <si>
    <r>
      <rPr>
        <u/>
        <sz val="11"/>
        <color rgb="FF002060"/>
        <rFont val="Calibri"/>
        <family val="2"/>
        <scheme val="minor"/>
      </rPr>
      <t>Rate</t>
    </r>
    <r>
      <rPr>
        <sz val="11"/>
        <color rgb="FF002060"/>
        <rFont val="Calibri"/>
        <family val="2"/>
        <scheme val="minor"/>
      </rPr>
      <t xml:space="preserve"> each Option on all 10 Criteria </t>
    </r>
    <r>
      <rPr>
        <sz val="10"/>
        <color rgb="FF00206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Excellent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9"/>
        <color rgb="FFC00000"/>
        <rFont val="Calibri"/>
        <family val="2"/>
        <scheme val="minor"/>
      </rPr>
      <t>/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Good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9"/>
        <color rgb="FFC00000"/>
        <rFont val="Calibri"/>
        <family val="2"/>
        <scheme val="minor"/>
      </rPr>
      <t>/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Fair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/</t>
    </r>
    <r>
      <rPr>
        <i/>
        <sz val="2"/>
        <color rgb="FFC0000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scheme val="minor"/>
      </rPr>
      <t>Poor</t>
    </r>
  </si>
  <si>
    <r>
      <t xml:space="preserve">Input 12 </t>
    </r>
    <r>
      <rPr>
        <u/>
        <sz val="11"/>
        <color rgb="FF002060"/>
        <rFont val="Calibri"/>
        <family val="2"/>
        <scheme val="minor"/>
      </rPr>
      <t>Options</t>
    </r>
    <r>
      <rPr>
        <sz val="11"/>
        <color rgb="FF002060"/>
        <rFont val="Calibri"/>
        <family val="2"/>
        <scheme val="minor"/>
      </rPr>
      <t xml:space="preserve"> you're considering</t>
    </r>
  </si>
  <si>
    <r>
      <t xml:space="preserve">Input 10 </t>
    </r>
    <r>
      <rPr>
        <u/>
        <sz val="11"/>
        <color rgb="FF002060"/>
        <rFont val="Calibri"/>
        <family val="2"/>
        <scheme val="minor"/>
      </rPr>
      <t>Criteria</t>
    </r>
    <r>
      <rPr>
        <sz val="11"/>
        <color rgb="FF002060"/>
        <rFont val="Calibri"/>
        <family val="2"/>
        <scheme val="minor"/>
      </rPr>
      <t xml:space="preserve"> to use when comparing them</t>
    </r>
  </si>
  <si>
    <t>Campus</t>
  </si>
  <si>
    <t>Cost</t>
  </si>
  <si>
    <t>Recruiting</t>
  </si>
  <si>
    <t>Facilities</t>
  </si>
  <si>
    <t>Faculty</t>
  </si>
  <si>
    <t>Housing</t>
  </si>
  <si>
    <t>Location</t>
  </si>
  <si>
    <t>Prestige</t>
  </si>
  <si>
    <t>Social</t>
  </si>
  <si>
    <t>Academics</t>
  </si>
  <si>
    <t>Amherst College</t>
  </si>
  <si>
    <t>Cal State Los Angeles</t>
  </si>
  <si>
    <t>Cal Tech</t>
  </si>
  <si>
    <t>City College of New York</t>
  </si>
  <si>
    <t>Northwestern University</t>
  </si>
  <si>
    <t>St. Johns University</t>
  </si>
  <si>
    <t>UCLA</t>
  </si>
  <si>
    <t>University of California</t>
  </si>
  <si>
    <t>University of Oregon</t>
  </si>
  <si>
    <t>Santa Monica College</t>
  </si>
  <si>
    <t>UMass</t>
  </si>
  <si>
    <t>University of Utah</t>
  </si>
  <si>
    <t>Importance</t>
  </si>
  <si>
    <t>⓿</t>
  </si>
  <si>
    <t>Headers</t>
  </si>
  <si>
    <t>Rankorder</t>
  </si>
  <si>
    <t>Attribute</t>
  </si>
  <si>
    <t>Rating</t>
  </si>
  <si>
    <t>Decision Made!</t>
  </si>
  <si>
    <t>Ratings Breakdown</t>
  </si>
  <si>
    <t>Options Breakdown</t>
  </si>
  <si>
    <r>
      <t xml:space="preserve">Abide </t>
    </r>
    <r>
      <rPr>
        <b/>
        <i/>
        <sz val="12"/>
        <color rgb="FF002060"/>
        <rFont val="Calibri"/>
        <family val="2"/>
        <scheme val="minor"/>
      </rPr>
      <t>The Decision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</si>
</sst>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;[Red]\-#,###.0"/>
    <numFmt numFmtId="165" formatCode="#,##0;[Red]#,##0"/>
    <numFmt numFmtId="166" formatCode="#,##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Verdana"/>
      <family val="2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9.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2"/>
      <color rgb="FFC0000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CC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.5"/>
      <name val="Calibri"/>
      <family val="2"/>
      <scheme val="minor"/>
    </font>
    <font>
      <sz val="10.5"/>
      <name val="Calibri"/>
      <family val="2"/>
      <scheme val="minor"/>
    </font>
    <font>
      <sz val="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rgb="FF0000CC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1F9EF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FFFF7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1"/>
      </left>
      <right style="hair">
        <color theme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0" fontId="3" fillId="2" borderId="1" applyNumberFormat="0" applyFont="0" applyAlignment="0" applyProtection="0"/>
    <xf numFmtId="0" fontId="2" fillId="3" borderId="0" applyNumberFormat="0" applyBorder="0" applyAlignment="0" applyProtection="0"/>
    <xf numFmtId="0" fontId="12" fillId="0" borderId="0"/>
  </cellStyleXfs>
  <cellXfs count="122">
    <xf numFmtId="0" fontId="0" fillId="0" borderId="0" xfId="0"/>
    <xf numFmtId="165" fontId="4" fillId="0" borderId="0" xfId="3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165" fontId="4" fillId="0" borderId="0" xfId="3" applyNumberFormat="1" applyFont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38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8" fontId="10" fillId="0" borderId="0" xfId="0" applyNumberFormat="1" applyFont="1" applyProtection="1">
      <protection hidden="1"/>
    </xf>
    <xf numFmtId="164" fontId="6" fillId="0" borderId="0" xfId="0" applyNumberFormat="1" applyFont="1" applyProtection="1">
      <protection hidden="1"/>
    </xf>
    <xf numFmtId="164" fontId="6" fillId="0" borderId="0" xfId="0" applyNumberFormat="1" applyFont="1" applyAlignment="1" applyProtection="1">
      <alignment vertical="top"/>
      <protection hidden="1"/>
    </xf>
    <xf numFmtId="0" fontId="6" fillId="0" borderId="0" xfId="0" applyFont="1" applyAlignment="1" applyProtection="1">
      <alignment horizontal="center"/>
      <protection hidden="1"/>
    </xf>
    <xf numFmtId="38" fontId="6" fillId="0" borderId="0" xfId="0" applyNumberFormat="1" applyFont="1" applyProtection="1">
      <protection hidden="1"/>
    </xf>
    <xf numFmtId="38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Continuous"/>
      <protection hidden="1"/>
    </xf>
    <xf numFmtId="38" fontId="6" fillId="0" borderId="0" xfId="0" applyNumberFormat="1" applyFont="1" applyAlignment="1" applyProtection="1">
      <alignment horizontal="centerContinuous"/>
      <protection hidden="1"/>
    </xf>
    <xf numFmtId="38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38" fontId="6" fillId="0" borderId="0" xfId="0" applyNumberFormat="1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38" fontId="6" fillId="0" borderId="0" xfId="0" applyNumberFormat="1" applyFont="1" applyAlignment="1" applyProtection="1">
      <alignment horizontal="left" indent="2"/>
      <protection hidden="1"/>
    </xf>
    <xf numFmtId="38" fontId="6" fillId="0" borderId="0" xfId="0" applyNumberFormat="1" applyFont="1" applyAlignment="1" applyProtection="1">
      <alignment vertical="center"/>
      <protection hidden="1"/>
    </xf>
    <xf numFmtId="38" fontId="15" fillId="0" borderId="0" xfId="0" applyNumberFormat="1" applyFont="1" applyAlignment="1" applyProtection="1">
      <alignment vertical="center"/>
      <protection hidden="1"/>
    </xf>
    <xf numFmtId="38" fontId="14" fillId="0" borderId="0" xfId="0" applyNumberFormat="1" applyFont="1" applyAlignment="1" applyProtection="1">
      <alignment horizontal="left"/>
      <protection hidden="1"/>
    </xf>
    <xf numFmtId="38" fontId="6" fillId="0" borderId="0" xfId="0" quotePrefix="1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38" fontId="19" fillId="0" borderId="0" xfId="0" applyNumberFormat="1" applyFont="1" applyAlignment="1" applyProtection="1">
      <alignment vertical="center"/>
      <protection hidden="1"/>
    </xf>
    <xf numFmtId="38" fontId="18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38" fontId="23" fillId="0" borderId="0" xfId="0" applyNumberFormat="1" applyFont="1" applyAlignment="1" applyProtection="1">
      <alignment horizontal="left" vertical="center" indent="2"/>
      <protection hidden="1"/>
    </xf>
    <xf numFmtId="38" fontId="23" fillId="0" borderId="0" xfId="0" applyNumberFormat="1" applyFont="1" applyAlignment="1" applyProtection="1">
      <alignment horizontal="left" indent="2"/>
      <protection hidden="1"/>
    </xf>
    <xf numFmtId="0" fontId="4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38" fontId="6" fillId="0" borderId="0" xfId="2" applyNumberFormat="1" applyFont="1" applyFill="1" applyBorder="1" applyAlignment="1" applyProtection="1">
      <alignment horizontal="left"/>
      <protection hidden="1"/>
    </xf>
    <xf numFmtId="38" fontId="6" fillId="0" borderId="0" xfId="2" applyNumberFormat="1" applyFont="1" applyFill="1" applyBorder="1" applyAlignment="1" applyProtection="1">
      <alignment horizontal="left" indent="1"/>
      <protection hidden="1"/>
    </xf>
    <xf numFmtId="0" fontId="4" fillId="0" borderId="0" xfId="0" applyFont="1" applyAlignment="1" applyProtection="1">
      <alignment horizontal="left"/>
      <protection hidden="1"/>
    </xf>
    <xf numFmtId="38" fontId="21" fillId="0" borderId="0" xfId="0" applyNumberFormat="1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32" fillId="0" borderId="0" xfId="0" applyFont="1" applyAlignment="1" applyProtection="1">
      <alignment horizontal="left" indent="1"/>
      <protection hidden="1"/>
    </xf>
    <xf numFmtId="1" fontId="6" fillId="0" borderId="0" xfId="0" applyNumberFormat="1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7"/>
      <protection hidden="1"/>
    </xf>
    <xf numFmtId="0" fontId="30" fillId="0" borderId="0" xfId="0" applyFont="1" applyAlignment="1" applyProtection="1">
      <alignment horizontal="left" indent="1"/>
      <protection hidden="1"/>
    </xf>
    <xf numFmtId="0" fontId="30" fillId="0" borderId="0" xfId="0" applyFont="1" applyAlignment="1" applyProtection="1">
      <alignment horizontal="left" indent="6"/>
      <protection hidden="1"/>
    </xf>
    <xf numFmtId="0" fontId="35" fillId="0" borderId="0" xfId="0" applyFont="1" applyProtection="1">
      <protection hidden="1"/>
    </xf>
    <xf numFmtId="165" fontId="36" fillId="0" borderId="0" xfId="3" applyNumberFormat="1" applyFont="1" applyAlignment="1" applyProtection="1">
      <alignment horizontal="left"/>
      <protection hidden="1"/>
    </xf>
    <xf numFmtId="165" fontId="36" fillId="0" borderId="0" xfId="3" applyNumberFormat="1" applyFont="1" applyAlignment="1" applyProtection="1">
      <alignment horizontal="center"/>
      <protection hidden="1"/>
    </xf>
    <xf numFmtId="165" fontId="36" fillId="0" borderId="0" xfId="0" applyNumberFormat="1" applyFont="1" applyAlignment="1" applyProtection="1">
      <alignment horizontal="left"/>
      <protection hidden="1"/>
    </xf>
    <xf numFmtId="165" fontId="36" fillId="0" borderId="0" xfId="0" applyNumberFormat="1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1" fontId="29" fillId="0" borderId="0" xfId="0" applyNumberFormat="1" applyFont="1" applyProtection="1"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/>
      <protection hidden="1"/>
    </xf>
    <xf numFmtId="1" fontId="36" fillId="0" borderId="0" xfId="0" applyNumberFormat="1" applyFont="1" applyAlignment="1" applyProtection="1">
      <alignment horizontal="left"/>
      <protection hidden="1"/>
    </xf>
    <xf numFmtId="3" fontId="36" fillId="0" borderId="0" xfId="0" applyNumberFormat="1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/>
      <protection hidden="1"/>
    </xf>
    <xf numFmtId="3" fontId="38" fillId="0" borderId="0" xfId="0" applyNumberFormat="1" applyFont="1" applyAlignment="1" applyProtection="1">
      <alignment horizontal="center"/>
      <protection hidden="1"/>
    </xf>
    <xf numFmtId="3" fontId="36" fillId="0" borderId="0" xfId="0" applyNumberFormat="1" applyFont="1" applyAlignment="1" applyProtection="1">
      <alignment horizontal="center"/>
      <protection hidden="1"/>
    </xf>
    <xf numFmtId="3" fontId="38" fillId="0" borderId="0" xfId="0" applyNumberFormat="1" applyFont="1" applyAlignment="1" applyProtection="1">
      <alignment horizontal="left"/>
      <protection hidden="1"/>
    </xf>
    <xf numFmtId="3" fontId="38" fillId="0" borderId="0" xfId="0" quotePrefix="1" applyNumberFormat="1" applyFont="1" applyAlignment="1" applyProtection="1">
      <alignment horizontal="center"/>
      <protection hidden="1"/>
    </xf>
    <xf numFmtId="3" fontId="36" fillId="0" borderId="0" xfId="0" quotePrefix="1" applyNumberFormat="1" applyFont="1" applyAlignment="1" applyProtection="1">
      <alignment horizontal="left"/>
      <protection hidden="1"/>
    </xf>
    <xf numFmtId="3" fontId="36" fillId="0" borderId="0" xfId="0" quotePrefix="1" applyNumberFormat="1" applyFont="1" applyAlignment="1" applyProtection="1">
      <alignment horizontal="center"/>
      <protection hidden="1"/>
    </xf>
    <xf numFmtId="166" fontId="36" fillId="0" borderId="0" xfId="0" applyNumberFormat="1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top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40" fillId="0" borderId="0" xfId="0" applyFont="1" applyProtection="1">
      <protection hidden="1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1" fontId="41" fillId="0" borderId="26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Continuous"/>
      <protection hidden="1"/>
    </xf>
    <xf numFmtId="0" fontId="5" fillId="0" borderId="0" xfId="0" applyFont="1" applyAlignment="1" applyProtection="1">
      <alignment horizontal="centerContinuous"/>
      <protection hidden="1"/>
    </xf>
    <xf numFmtId="38" fontId="42" fillId="0" borderId="0" xfId="0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left" indent="8"/>
      <protection hidden="1"/>
    </xf>
    <xf numFmtId="0" fontId="6" fillId="0" borderId="0" xfId="0" applyFont="1" applyAlignment="1" applyProtection="1">
      <alignment horizontal="left" vertical="top" indent="8"/>
      <protection hidden="1"/>
    </xf>
    <xf numFmtId="38" fontId="30" fillId="0" borderId="0" xfId="0" applyNumberFormat="1" applyFont="1" applyAlignment="1" applyProtection="1">
      <alignment horizontal="left" indent="1"/>
      <protection hidden="1"/>
    </xf>
    <xf numFmtId="0" fontId="17" fillId="4" borderId="17" xfId="0" applyFont="1" applyFill="1" applyBorder="1" applyAlignment="1" applyProtection="1">
      <alignment horizontal="center" vertical="center"/>
      <protection hidden="1"/>
    </xf>
    <xf numFmtId="0" fontId="17" fillId="4" borderId="18" xfId="0" applyFont="1" applyFill="1" applyBorder="1" applyAlignment="1" applyProtection="1">
      <alignment horizontal="center" vertical="center"/>
      <protection hidden="1"/>
    </xf>
    <xf numFmtId="0" fontId="17" fillId="4" borderId="19" xfId="0" applyFont="1" applyFill="1" applyBorder="1" applyAlignment="1" applyProtection="1">
      <alignment horizontal="center" vertical="center"/>
      <protection hidden="1"/>
    </xf>
    <xf numFmtId="0" fontId="6" fillId="5" borderId="20" xfId="0" applyFont="1" applyFill="1" applyBorder="1" applyAlignment="1" applyProtection="1">
      <alignment horizontal="left" vertical="center" indent="1"/>
      <protection hidden="1"/>
    </xf>
    <xf numFmtId="0" fontId="6" fillId="5" borderId="9" xfId="0" applyFont="1" applyFill="1" applyBorder="1" applyAlignment="1" applyProtection="1">
      <alignment horizontal="left" vertical="center" indent="1"/>
      <protection hidden="1"/>
    </xf>
    <xf numFmtId="0" fontId="6" fillId="5" borderId="21" xfId="0" applyFont="1" applyFill="1" applyBorder="1" applyAlignment="1" applyProtection="1">
      <alignment horizontal="left" vertical="center" indent="1"/>
      <protection hidden="1"/>
    </xf>
    <xf numFmtId="0" fontId="6" fillId="5" borderId="22" xfId="0" applyFont="1" applyFill="1" applyBorder="1" applyAlignment="1" applyProtection="1">
      <alignment horizontal="left" vertical="center" indent="1"/>
      <protection hidden="1"/>
    </xf>
    <xf numFmtId="0" fontId="6" fillId="5" borderId="8" xfId="0" applyFont="1" applyFill="1" applyBorder="1" applyAlignment="1" applyProtection="1">
      <alignment horizontal="left" vertical="center" indent="1"/>
      <protection hidden="1"/>
    </xf>
    <xf numFmtId="0" fontId="6" fillId="5" borderId="23" xfId="0" applyFont="1" applyFill="1" applyBorder="1" applyAlignment="1" applyProtection="1">
      <alignment horizontal="left" vertical="center" indent="1"/>
      <protection hidden="1"/>
    </xf>
    <xf numFmtId="0" fontId="6" fillId="5" borderId="24" xfId="0" applyFont="1" applyFill="1" applyBorder="1" applyAlignment="1" applyProtection="1">
      <alignment horizontal="left" vertical="center" indent="1"/>
      <protection hidden="1"/>
    </xf>
    <xf numFmtId="0" fontId="6" fillId="5" borderId="10" xfId="0" applyFont="1" applyFill="1" applyBorder="1" applyAlignment="1" applyProtection="1">
      <alignment horizontal="left" vertical="center" indent="1"/>
      <protection hidden="1"/>
    </xf>
    <xf numFmtId="0" fontId="6" fillId="5" borderId="25" xfId="0" applyFont="1" applyFill="1" applyBorder="1" applyAlignment="1" applyProtection="1">
      <alignment horizontal="left" vertical="center" indent="1"/>
      <protection hidden="1"/>
    </xf>
    <xf numFmtId="38" fontId="6" fillId="0" borderId="0" xfId="0" applyNumberFormat="1" applyFont="1" applyAlignment="1" applyProtection="1">
      <alignment horizontal="left" indent="1"/>
      <protection hidden="1"/>
    </xf>
    <xf numFmtId="38" fontId="22" fillId="0" borderId="0" xfId="0" applyNumberFormat="1" applyFont="1" applyAlignment="1" applyProtection="1">
      <alignment horizontal="center" vertical="center"/>
      <protection hidden="1"/>
    </xf>
    <xf numFmtId="38" fontId="33" fillId="0" borderId="0" xfId="0" applyNumberFormat="1" applyFont="1" applyAlignment="1" applyProtection="1">
      <alignment horizontal="left" vertical="center" indent="1"/>
      <protection hidden="1"/>
    </xf>
    <xf numFmtId="38" fontId="1" fillId="6" borderId="5" xfId="2" applyNumberFormat="1" applyFont="1" applyFill="1" applyBorder="1" applyAlignment="1" applyProtection="1">
      <alignment horizontal="left" vertical="center" indent="1"/>
      <protection hidden="1"/>
    </xf>
    <xf numFmtId="38" fontId="1" fillId="6" borderId="2" xfId="2" applyNumberFormat="1" applyFont="1" applyFill="1" applyBorder="1" applyAlignment="1" applyProtection="1">
      <alignment horizontal="left" vertical="center" indent="1"/>
      <protection hidden="1"/>
    </xf>
    <xf numFmtId="164" fontId="34" fillId="6" borderId="12" xfId="1" applyNumberFormat="1" applyFont="1" applyFill="1" applyBorder="1" applyAlignment="1" applyProtection="1">
      <alignment horizontal="center" vertical="center" wrapText="1"/>
      <protection hidden="1"/>
    </xf>
    <xf numFmtId="164" fontId="34" fillId="6" borderId="15" xfId="1" applyNumberFormat="1" applyFont="1" applyFill="1" applyBorder="1" applyAlignment="1" applyProtection="1">
      <alignment horizontal="center" vertical="center" wrapText="1"/>
      <protection hidden="1"/>
    </xf>
    <xf numFmtId="164" fontId="34" fillId="6" borderId="13" xfId="1" applyNumberFormat="1" applyFont="1" applyFill="1" applyBorder="1" applyAlignment="1" applyProtection="1">
      <alignment horizontal="center" vertical="center" wrapText="1"/>
      <protection hidden="1"/>
    </xf>
    <xf numFmtId="164" fontId="34" fillId="6" borderId="16" xfId="1" applyNumberFormat="1" applyFont="1" applyFill="1" applyBorder="1" applyAlignment="1" applyProtection="1">
      <alignment horizontal="center" vertical="center" wrapText="1"/>
      <protection hidden="1"/>
    </xf>
    <xf numFmtId="38" fontId="1" fillId="6" borderId="6" xfId="2" applyNumberFormat="1" applyFont="1" applyFill="1" applyBorder="1" applyAlignment="1" applyProtection="1">
      <alignment horizontal="left" vertical="center" indent="1"/>
      <protection hidden="1"/>
    </xf>
    <xf numFmtId="38" fontId="1" fillId="6" borderId="7" xfId="2" applyNumberFormat="1" applyFont="1" applyFill="1" applyBorder="1" applyAlignment="1" applyProtection="1">
      <alignment horizontal="left" vertical="center" indent="1"/>
      <protection hidden="1"/>
    </xf>
    <xf numFmtId="164" fontId="6" fillId="6" borderId="11" xfId="1" applyNumberFormat="1" applyFont="1" applyFill="1" applyBorder="1" applyAlignment="1" applyProtection="1">
      <alignment horizontal="center" vertical="center" wrapText="1"/>
      <protection hidden="1"/>
    </xf>
    <xf numFmtId="164" fontId="6" fillId="6" borderId="14" xfId="1" applyNumberFormat="1" applyFont="1" applyFill="1" applyBorder="1" applyAlignment="1" applyProtection="1">
      <alignment horizontal="center" vertical="center" wrapText="1"/>
      <protection hidden="1"/>
    </xf>
    <xf numFmtId="38" fontId="1" fillId="6" borderId="3" xfId="2" applyNumberFormat="1" applyFont="1" applyFill="1" applyBorder="1" applyAlignment="1" applyProtection="1">
      <alignment horizontal="left" vertical="center" indent="1"/>
      <protection hidden="1"/>
    </xf>
    <xf numFmtId="38" fontId="1" fillId="6" borderId="4" xfId="2" applyNumberFormat="1" applyFont="1" applyFill="1" applyBorder="1" applyAlignment="1" applyProtection="1">
      <alignment horizontal="left" vertical="center" indent="1"/>
      <protection hidden="1"/>
    </xf>
  </cellXfs>
  <cellStyles count="4">
    <cellStyle name="20% - Accent3" xfId="2" builtinId="38"/>
    <cellStyle name="Normal" xfId="0" builtinId="0"/>
    <cellStyle name="Normal 2 2" xfId="3" xr:uid="{899D7A69-11B5-489E-9F25-1EE518E31E4F}"/>
    <cellStyle name="Note" xfId="1" builtinId="10"/>
  </cellStyles>
  <dxfs count="14">
    <dxf>
      <fill>
        <patternFill>
          <bgColor rgb="FFA6A6A6"/>
        </patternFill>
      </fill>
    </dxf>
    <dxf>
      <fill>
        <patternFill>
          <bgColor rgb="FFBFBFBF"/>
        </patternFill>
      </fill>
    </dxf>
    <dxf>
      <fill>
        <patternFill>
          <bgColor rgb="FFD9D9D9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CCCCCC"/>
        </patternFill>
      </fill>
    </dxf>
    <dxf>
      <fill>
        <patternFill>
          <bgColor rgb="FFA6A6A6"/>
        </patternFill>
      </fill>
    </dxf>
    <dxf>
      <fill>
        <patternFill>
          <bgColor rgb="FFC1E0FF"/>
        </patternFill>
      </fill>
    </dxf>
    <dxf>
      <fill>
        <patternFill>
          <bgColor rgb="FFD3E9FF"/>
        </patternFill>
      </fill>
    </dxf>
    <dxf>
      <fill>
        <patternFill>
          <bgColor rgb="FFE7F3FF"/>
        </patternFill>
      </fill>
    </dxf>
    <dxf>
      <fill>
        <patternFill>
          <bgColor rgb="FFFBFDFF"/>
        </patternFill>
      </fill>
    </dxf>
    <dxf>
      <fill>
        <patternFill>
          <bgColor rgb="FFFBFDFF"/>
        </patternFill>
      </fill>
    </dxf>
    <dxf>
      <fill>
        <patternFill>
          <bgColor rgb="FFE9F4FF"/>
        </patternFill>
      </fill>
    </dxf>
    <dxf>
      <fill>
        <patternFill>
          <bgColor rgb="FFC1E0FF"/>
        </patternFill>
      </fill>
    </dxf>
  </dxfs>
  <tableStyles count="0" defaultTableStyle="TableStyleMedium9" defaultPivotStyle="PivotStyleLight16"/>
  <colors>
    <mruColors>
      <color rgb="FFFBFDFF"/>
      <color rgb="FFFAF1F0"/>
      <color rgb="FFF6FBF5"/>
      <color rgb="FFF2EFF5"/>
      <color rgb="FFE9F4FF"/>
      <color rgb="FF0000CC"/>
      <color rgb="FF3366FF"/>
      <color rgb="FF2F2FFF"/>
      <color rgb="FFC1E0FF"/>
      <color rgb="FFE7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312925096582376E-2"/>
          <c:y val="1.2926838695178421E-2"/>
          <c:w val="0.98768707490341767"/>
          <c:h val="0.97611262114351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DecisionMaker!$CD$11</c:f>
              <c:strCache>
                <c:ptCount val="1"/>
                <c:pt idx="0">
                  <c:v>Composite Score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E9F4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988-4FC2-8F1C-ACE1F3BF2C36}"/>
              </c:ext>
            </c:extLst>
          </c:dPt>
          <c:dPt>
            <c:idx val="12"/>
            <c:invertIfNegative val="0"/>
            <c:bubble3D val="0"/>
            <c:spPr>
              <a:noFill/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216-462E-B66B-294220FE315A}"/>
              </c:ext>
            </c:extLst>
          </c:dPt>
          <c:dLbls>
            <c:dLbl>
              <c:idx val="1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988-4FC2-8F1C-ACE1F3BF2C36}"/>
                </c:ext>
              </c:extLst>
            </c:dLbl>
            <c:dLbl>
              <c:idx val="12"/>
              <c:layout>
                <c:manualLayout>
                  <c:x val="-4.5720520739829726E-3"/>
                  <c:y val="-2.3853651338574084E-18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216-462E-B66B-294220FE31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DecisionMaker!$CD$12:$CD$24</c:f>
              <c:numCache>
                <c:formatCode>#,##0</c:formatCode>
                <c:ptCount val="13"/>
                <c:pt idx="0">
                  <c:v>90.01</c:v>
                </c:pt>
                <c:pt idx="1">
                  <c:v>95.012</c:v>
                </c:pt>
                <c:pt idx="2">
                  <c:v>149.00299999999999</c:v>
                </c:pt>
                <c:pt idx="3">
                  <c:v>157.011</c:v>
                </c:pt>
                <c:pt idx="4">
                  <c:v>168.001</c:v>
                </c:pt>
                <c:pt idx="5">
                  <c:v>197.00800000000001</c:v>
                </c:pt>
                <c:pt idx="6">
                  <c:v>226.00899999999999</c:v>
                </c:pt>
                <c:pt idx="7">
                  <c:v>241.00399999999999</c:v>
                </c:pt>
                <c:pt idx="8">
                  <c:v>243.00700000000001</c:v>
                </c:pt>
                <c:pt idx="9">
                  <c:v>244.005</c:v>
                </c:pt>
                <c:pt idx="10">
                  <c:v>244.006</c:v>
                </c:pt>
                <c:pt idx="11">
                  <c:v>262.00200000000001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7-43EE-BC1C-E71C5169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9173104"/>
        <c:axId val="109168304"/>
      </c:barChart>
      <c:catAx>
        <c:axId val="109173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68304"/>
        <c:crosses val="autoZero"/>
        <c:auto val="1"/>
        <c:lblAlgn val="ctr"/>
        <c:lblOffset val="100"/>
        <c:noMultiLvlLbl val="0"/>
      </c:catAx>
      <c:valAx>
        <c:axId val="1091683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0917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38046428025763E-2"/>
          <c:y val="1.1705960197585115E-2"/>
          <c:w val="0.9566499188392189"/>
          <c:h val="0.978474729447701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DecisionMaker!$CE$11</c:f>
              <c:strCache>
                <c:ptCount val="1"/>
                <c:pt idx="0">
                  <c:v># Excellent</c:v>
                </c:pt>
              </c:strCache>
            </c:strRef>
          </c:tx>
          <c:spPr>
            <a:solidFill>
              <a:srgbClr val="FBFDFF"/>
            </a:solidFill>
            <a:ln w="3175">
              <a:solidFill>
                <a:srgbClr val="0000CC"/>
              </a:solidFill>
              <a:prstDash val="solid"/>
            </a:ln>
            <a:effectLst/>
          </c:spPr>
          <c:invertIfNegative val="0"/>
          <c:dPt>
            <c:idx val="12"/>
            <c:invertIfNegative val="0"/>
            <c:bubble3D val="0"/>
            <c:spPr>
              <a:noFill/>
              <a:ln w="3175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B-41DB-BABC-8C83E840095F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0000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278B-41DB-BABC-8C83E840095F}"/>
                </c:ext>
              </c:extLst>
            </c:dLbl>
            <c:spPr>
              <a:solidFill>
                <a:srgbClr val="FBFD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C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DecisionMaker!$CE$12:$CE$24</c:f>
              <c:numCache>
                <c:formatCode>#,##0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8B-41DB-BABC-8C83E840095F}"/>
            </c:ext>
          </c:extLst>
        </c:ser>
        <c:ser>
          <c:idx val="1"/>
          <c:order val="1"/>
          <c:tx>
            <c:strRef>
              <c:f>DecisionMaker!$CF$11</c:f>
              <c:strCache>
                <c:ptCount val="1"/>
                <c:pt idx="0">
                  <c:v># Good</c:v>
                </c:pt>
              </c:strCache>
            </c:strRef>
          </c:tx>
          <c:spPr>
            <a:solidFill>
              <a:srgbClr val="FAF1F0"/>
            </a:solidFill>
            <a:ln w="3175">
              <a:solidFill>
                <a:srgbClr val="C00000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noFill/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78B-41DB-BABC-8C83E840095F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278B-41DB-BABC-8C83E8400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DecisionMaker!$CF$12:$CF$24</c:f>
              <c:numCache>
                <c:formatCode>#,##0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78B-41DB-BABC-8C83E840095F}"/>
            </c:ext>
          </c:extLst>
        </c:ser>
        <c:ser>
          <c:idx val="2"/>
          <c:order val="2"/>
          <c:tx>
            <c:strRef>
              <c:f>DecisionMaker!$CG$11</c:f>
              <c:strCache>
                <c:ptCount val="1"/>
                <c:pt idx="0">
                  <c:v># Fair</c:v>
                </c:pt>
              </c:strCache>
            </c:strRef>
          </c:tx>
          <c:spPr>
            <a:solidFill>
              <a:srgbClr val="F6FBF5"/>
            </a:solidFill>
            <a:ln w="3175">
              <a:solidFill>
                <a:srgbClr val="007A37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noFill/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78B-41DB-BABC-8C83E840095F}"/>
              </c:ext>
            </c:extLst>
          </c:dPt>
          <c:dPt>
            <c:idx val="13"/>
            <c:invertIfNegative val="0"/>
            <c:bubble3D val="0"/>
            <c:spPr>
              <a:solidFill>
                <a:srgbClr val="F6FBF5"/>
              </a:solidFill>
              <a:ln w="3175">
                <a:solidFill>
                  <a:srgbClr val="007A3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278B-41DB-BABC-8C83E840095F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007A3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F-278B-41DB-BABC-8C83E840095F}"/>
                </c:ext>
              </c:extLst>
            </c:dLbl>
            <c:spPr>
              <a:solidFill>
                <a:srgbClr val="F6FBF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7A3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DecisionMaker!$CG$12:$CG$24</c:f>
              <c:numCache>
                <c:formatCode>#,##0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78B-41DB-BABC-8C83E840095F}"/>
            </c:ext>
          </c:extLst>
        </c:ser>
        <c:ser>
          <c:idx val="3"/>
          <c:order val="3"/>
          <c:tx>
            <c:strRef>
              <c:f>DecisionMaker!$CH$11</c:f>
              <c:strCache>
                <c:ptCount val="1"/>
                <c:pt idx="0">
                  <c:v># Poor</c:v>
                </c:pt>
              </c:strCache>
            </c:strRef>
          </c:tx>
          <c:spPr>
            <a:solidFill>
              <a:srgbClr val="F2EFF5">
                <a:alpha val="98824"/>
              </a:srgbClr>
            </a:solidFill>
            <a:ln w="6350"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noFill/>
              <a:ln w="63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278B-41DB-BABC-8C83E840095F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E-278B-41DB-BABC-8C83E840095F}"/>
                </c:ext>
              </c:extLst>
            </c:dLbl>
            <c:spPr>
              <a:solidFill>
                <a:srgbClr val="F2EFF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DecisionMaker!$CH$12:$CH$24</c:f>
              <c:numCache>
                <c:formatCode>#,##0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78B-41DB-BABC-8C83E8400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6819999"/>
        <c:axId val="1346820959"/>
      </c:barChart>
      <c:catAx>
        <c:axId val="1346819999"/>
        <c:scaling>
          <c:orientation val="minMax"/>
        </c:scaling>
        <c:delete val="1"/>
        <c:axPos val="l"/>
        <c:majorTickMark val="none"/>
        <c:minorTickMark val="none"/>
        <c:tickLblPos val="nextTo"/>
        <c:crossAx val="1346820959"/>
        <c:crosses val="autoZero"/>
        <c:auto val="1"/>
        <c:lblAlgn val="ctr"/>
        <c:lblOffset val="100"/>
        <c:noMultiLvlLbl val="0"/>
      </c:catAx>
      <c:valAx>
        <c:axId val="1346820959"/>
        <c:scaling>
          <c:orientation val="minMax"/>
          <c:max val="10"/>
        </c:scaling>
        <c:delete val="1"/>
        <c:axPos val="b"/>
        <c:numFmt formatCode="#,##0" sourceLinked="1"/>
        <c:majorTickMark val="out"/>
        <c:minorTickMark val="none"/>
        <c:tickLblPos val="nextTo"/>
        <c:crossAx val="1346819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hyperlink" Target="https://excelmodels.com/" TargetMode="External"/><Relationship Id="rId5" Type="http://schemas.openxmlformats.org/officeDocument/2006/relationships/image" Target="../media/image3.png"/><Relationship Id="rId10" Type="http://schemas.openxmlformats.org/officeDocument/2006/relationships/image" Target="../media/image7.emf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60960</xdr:rowOff>
    </xdr:from>
    <xdr:to>
      <xdr:col>5</xdr:col>
      <xdr:colOff>495300</xdr:colOff>
      <xdr:row>3</xdr:row>
      <xdr:rowOff>22860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057C12-7DB2-467D-A251-2464FEBF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4300"/>
          <a:ext cx="320802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281940</xdr:colOff>
      <xdr:row>56</xdr:row>
      <xdr:rowOff>38100</xdr:rowOff>
    </xdr:from>
    <xdr:to>
      <xdr:col>9</xdr:col>
      <xdr:colOff>426720</xdr:colOff>
      <xdr:row>59</xdr:row>
      <xdr:rowOff>38100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FF0ACE-E97F-ADB7-1730-033ECAE4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10713720"/>
          <a:ext cx="19888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815340</xdr:colOff>
      <xdr:row>95</xdr:row>
      <xdr:rowOff>102326</xdr:rowOff>
    </xdr:from>
    <xdr:to>
      <xdr:col>6</xdr:col>
      <xdr:colOff>784860</xdr:colOff>
      <xdr:row>109</xdr:row>
      <xdr:rowOff>38980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7ED5637-CA23-406C-8573-43B031535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679268</xdr:colOff>
      <xdr:row>95</xdr:row>
      <xdr:rowOff>102326</xdr:rowOff>
    </xdr:from>
    <xdr:to>
      <xdr:col>9</xdr:col>
      <xdr:colOff>685800</xdr:colOff>
      <xdr:row>109</xdr:row>
      <xdr:rowOff>38980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C20E8CB-F4E0-45E3-9C0F-CC84E71F9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33982</xdr:colOff>
      <xdr:row>110</xdr:row>
      <xdr:rowOff>167641</xdr:rowOff>
    </xdr:from>
    <xdr:to>
      <xdr:col>4</xdr:col>
      <xdr:colOff>188975</xdr:colOff>
      <xdr:row>112</xdr:row>
      <xdr:rowOff>129540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512FC459-150F-8DFE-DD63-DC426A0B9F5D}"/>
            </a:ext>
          </a:extLst>
        </xdr:cNvPr>
        <xdr:cNvGrpSpPr>
          <a:grpSpLocks noChangeAspect="1"/>
        </xdr:cNvGrpSpPr>
      </xdr:nvGrpSpPr>
      <xdr:grpSpPr>
        <a:xfrm>
          <a:off x="277822" y="21511261"/>
          <a:ext cx="2204773" cy="327659"/>
          <a:chOff x="521662" y="23301961"/>
          <a:chExt cx="2280973" cy="327659"/>
        </a:xfrm>
      </xdr:grpSpPr>
      <xdr:grpSp>
        <xdr:nvGrpSpPr>
          <xdr:cNvPr id="85" name="Group 84">
            <a:extLst>
              <a:ext uri="{FF2B5EF4-FFF2-40B4-BE49-F238E27FC236}">
                <a16:creationId xmlns:a16="http://schemas.microsoft.com/office/drawing/2014/main" id="{1AF822DD-28E0-ED6C-46A8-FA70CAE7AB1F}"/>
              </a:ext>
            </a:extLst>
          </xdr:cNvPr>
          <xdr:cNvGrpSpPr>
            <a:grpSpLocks noChangeAspect="1"/>
          </xdr:cNvGrpSpPr>
        </xdr:nvGrpSpPr>
        <xdr:grpSpPr>
          <a:xfrm>
            <a:off x="521662" y="23301961"/>
            <a:ext cx="1733165" cy="189665"/>
            <a:chOff x="18135601" y="5090522"/>
            <a:chExt cx="1833562" cy="201596"/>
          </a:xfrm>
        </xdr:grpSpPr>
        <xdr:pic>
          <xdr:nvPicPr>
            <xdr:cNvPr id="87" name="Picture 86">
              <a:extLst>
                <a:ext uri="{FF2B5EF4-FFF2-40B4-BE49-F238E27FC236}">
                  <a16:creationId xmlns:a16="http://schemas.microsoft.com/office/drawing/2014/main" id="{C257D621-FF32-ACEC-8751-C40D31E48C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135601" y="5090522"/>
              <a:ext cx="1833562" cy="201596"/>
            </a:xfrm>
            <a:prstGeom prst="rect">
              <a:avLst/>
            </a:prstGeom>
          </xdr:spPr>
        </xdr:pic>
        <xdr:sp macro="" textlink="">
          <xdr:nvSpPr>
            <xdr:cNvPr id="88" name="Rectangle 87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50330F15-88BF-4854-A8B9-366226D1357A}"/>
                </a:ext>
              </a:extLst>
            </xdr:cNvPr>
            <xdr:cNvSpPr/>
          </xdr:nvSpPr>
          <xdr:spPr>
            <a:xfrm>
              <a:off x="18237995" y="5191125"/>
              <a:ext cx="1628775" cy="4571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B26BE1F0-4E28-3930-27B2-73828E67C9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21662" y="23486835"/>
            <a:ext cx="2280973" cy="14278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82866</xdr:colOff>
      <xdr:row>10</xdr:row>
      <xdr:rowOff>103279</xdr:rowOff>
    </xdr:from>
    <xdr:to>
      <xdr:col>2</xdr:col>
      <xdr:colOff>247458</xdr:colOff>
      <xdr:row>11</xdr:row>
      <xdr:rowOff>158637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4480C97C-E139-4500-31F9-0B2C4A8C42B3}"/>
            </a:ext>
          </a:extLst>
        </xdr:cNvPr>
        <xdr:cNvGrpSpPr/>
      </xdr:nvGrpSpPr>
      <xdr:grpSpPr>
        <a:xfrm>
          <a:off x="585786" y="2198779"/>
          <a:ext cx="164592" cy="245858"/>
          <a:chOff x="1936841" y="1853022"/>
          <a:chExt cx="164592" cy="269670"/>
        </a:xfrm>
      </xdr:grpSpPr>
      <xdr:sp macro="" textlink="">
        <xdr:nvSpPr>
          <xdr:cNvPr id="4" name="Isosceles Triangle 3">
            <a:extLst>
              <a:ext uri="{FF2B5EF4-FFF2-40B4-BE49-F238E27FC236}">
                <a16:creationId xmlns:a16="http://schemas.microsoft.com/office/drawing/2014/main" id="{EE51D906-5254-9564-C702-176A83E41556}"/>
              </a:ext>
            </a:extLst>
          </xdr:cNvPr>
          <xdr:cNvSpPr>
            <a:spLocks noChangeAspect="1"/>
          </xdr:cNvSpPr>
        </xdr:nvSpPr>
        <xdr:spPr bwMode="auto">
          <a:xfrm flipV="1">
            <a:off x="1949036" y="2049694"/>
            <a:ext cx="137160" cy="72998"/>
          </a:xfrm>
          <a:prstGeom prst="triangle">
            <a:avLst/>
          </a:prstGeom>
          <a:solidFill>
            <a:schemeClr val="tx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2A8BC9E-F940-DA27-7421-DB4082B73D8A}"/>
              </a:ext>
            </a:extLst>
          </xdr:cNvPr>
          <xdr:cNvSpPr>
            <a:spLocks noChangeAspect="1"/>
          </xdr:cNvSpPr>
        </xdr:nvSpPr>
        <xdr:spPr bwMode="auto">
          <a:xfrm>
            <a:off x="1936841" y="1853022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</xdr:grpSp>
    <xdr:clientData/>
  </xdr:twoCellAnchor>
  <xdr:twoCellAnchor editAs="oneCell">
    <xdr:from>
      <xdr:col>3</xdr:col>
      <xdr:colOff>766219</xdr:colOff>
      <xdr:row>9</xdr:row>
      <xdr:rowOff>111900</xdr:rowOff>
    </xdr:from>
    <xdr:to>
      <xdr:col>3</xdr:col>
      <xdr:colOff>1034938</xdr:colOff>
      <xdr:row>10</xdr:row>
      <xdr:rowOff>85205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1CFE01CC-14B6-E362-52F4-C322733EA832}"/>
            </a:ext>
          </a:extLst>
        </xdr:cNvPr>
        <xdr:cNvGrpSpPr/>
      </xdr:nvGrpSpPr>
      <xdr:grpSpPr>
        <a:xfrm>
          <a:off x="1970179" y="2016900"/>
          <a:ext cx="268719" cy="163805"/>
          <a:chOff x="3304632" y="1731150"/>
          <a:chExt cx="268719" cy="164592"/>
        </a:xfrm>
      </xdr:grpSpPr>
      <xdr:sp macro="" textlink="">
        <xdr:nvSpPr>
          <xdr:cNvPr id="6" name="Isosceles Triangle 5">
            <a:extLst>
              <a:ext uri="{FF2B5EF4-FFF2-40B4-BE49-F238E27FC236}">
                <a16:creationId xmlns:a16="http://schemas.microsoft.com/office/drawing/2014/main" id="{C910E64A-5BBC-FF25-34C9-EAAA23F05683}"/>
              </a:ext>
            </a:extLst>
          </xdr:cNvPr>
          <xdr:cNvSpPr>
            <a:spLocks noChangeAspect="1"/>
          </xdr:cNvSpPr>
        </xdr:nvSpPr>
        <xdr:spPr bwMode="auto">
          <a:xfrm rot="5400000">
            <a:off x="3467670" y="1777347"/>
            <a:ext cx="138209" cy="73152"/>
          </a:xfrm>
          <a:prstGeom prst="triangle">
            <a:avLst/>
          </a:prstGeom>
          <a:solidFill>
            <a:schemeClr val="tx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C3E2995E-FA69-65E8-CE0B-162AC313D7F4}"/>
              </a:ext>
            </a:extLst>
          </xdr:cNvPr>
          <xdr:cNvSpPr>
            <a:spLocks noChangeAspect="1"/>
          </xdr:cNvSpPr>
        </xdr:nvSpPr>
        <xdr:spPr bwMode="auto">
          <a:xfrm>
            <a:off x="3304632" y="1731150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endPara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766219</xdr:colOff>
      <xdr:row>11</xdr:row>
      <xdr:rowOff>9120</xdr:rowOff>
    </xdr:from>
    <xdr:to>
      <xdr:col>3</xdr:col>
      <xdr:colOff>1034939</xdr:colOff>
      <xdr:row>11</xdr:row>
      <xdr:rowOff>172925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6BE429A-8DEF-F8C5-BD9D-F1D7A25AC927}"/>
            </a:ext>
          </a:extLst>
        </xdr:cNvPr>
        <xdr:cNvGrpSpPr/>
      </xdr:nvGrpSpPr>
      <xdr:grpSpPr>
        <a:xfrm>
          <a:off x="1970179" y="2295120"/>
          <a:ext cx="268720" cy="163805"/>
          <a:chOff x="3304632" y="1964768"/>
          <a:chExt cx="268720" cy="164592"/>
        </a:xfrm>
      </xdr:grpSpPr>
      <xdr:sp macro="" textlink="">
        <xdr:nvSpPr>
          <xdr:cNvPr id="8" name="Isosceles Triangle 7">
            <a:extLst>
              <a:ext uri="{FF2B5EF4-FFF2-40B4-BE49-F238E27FC236}">
                <a16:creationId xmlns:a16="http://schemas.microsoft.com/office/drawing/2014/main" id="{EBA00F98-1508-66A4-78FF-D45D6ACDB88E}"/>
              </a:ext>
            </a:extLst>
          </xdr:cNvPr>
          <xdr:cNvSpPr>
            <a:spLocks noChangeAspect="1"/>
          </xdr:cNvSpPr>
        </xdr:nvSpPr>
        <xdr:spPr bwMode="auto">
          <a:xfrm rot="5400000">
            <a:off x="3468435" y="2011728"/>
            <a:ext cx="136681" cy="73152"/>
          </a:xfrm>
          <a:prstGeom prst="triangle">
            <a:avLst/>
          </a:prstGeom>
          <a:solidFill>
            <a:schemeClr val="tx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43FEC134-A764-6AD0-1C1C-F9AA5A4CCC04}"/>
              </a:ext>
            </a:extLst>
          </xdr:cNvPr>
          <xdr:cNvSpPr>
            <a:spLocks noChangeAspect="1"/>
          </xdr:cNvSpPr>
        </xdr:nvSpPr>
        <xdr:spPr bwMode="auto">
          <a:xfrm>
            <a:off x="3304632" y="1964768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</a:t>
            </a:r>
            <a:endPara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44766</xdr:colOff>
      <xdr:row>4</xdr:row>
      <xdr:rowOff>15240</xdr:rowOff>
    </xdr:from>
    <xdr:to>
      <xdr:col>2</xdr:col>
      <xdr:colOff>210312</xdr:colOff>
      <xdr:row>7</xdr:row>
      <xdr:rowOff>179100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C500114B-2ECA-C8EA-C10F-B93A4B86ED71}"/>
            </a:ext>
          </a:extLst>
        </xdr:cNvPr>
        <xdr:cNvGrpSpPr>
          <a:grpSpLocks noChangeAspect="1"/>
        </xdr:cNvGrpSpPr>
      </xdr:nvGrpSpPr>
      <xdr:grpSpPr>
        <a:xfrm>
          <a:off x="547686" y="1005840"/>
          <a:ext cx="165546" cy="712500"/>
          <a:chOff x="410515" y="653415"/>
          <a:chExt cx="164593" cy="706785"/>
        </a:xfrm>
      </xdr:grpSpPr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58953879-807C-09A6-CA53-F908E0A3A785}"/>
              </a:ext>
            </a:extLst>
          </xdr:cNvPr>
          <xdr:cNvSpPr>
            <a:spLocks noChangeAspect="1"/>
          </xdr:cNvSpPr>
        </xdr:nvSpPr>
        <xdr:spPr bwMode="auto">
          <a:xfrm>
            <a:off x="410516" y="653415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BDE38932-0A56-8A9F-E478-32661D12B577}"/>
              </a:ext>
            </a:extLst>
          </xdr:cNvPr>
          <xdr:cNvSpPr>
            <a:spLocks noChangeAspect="1"/>
          </xdr:cNvSpPr>
        </xdr:nvSpPr>
        <xdr:spPr bwMode="auto">
          <a:xfrm>
            <a:off x="410516" y="833379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E12B0743-1126-4F37-6F53-093A00C2AC2B}"/>
              </a:ext>
            </a:extLst>
          </xdr:cNvPr>
          <xdr:cNvSpPr>
            <a:spLocks noChangeAspect="1"/>
          </xdr:cNvSpPr>
        </xdr:nvSpPr>
        <xdr:spPr bwMode="auto">
          <a:xfrm>
            <a:off x="410515" y="1014493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</a:t>
            </a:r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3C247322-8F80-0472-EB77-E5865E8D4B7D}"/>
              </a:ext>
            </a:extLst>
          </xdr:cNvPr>
          <xdr:cNvSpPr>
            <a:spLocks noChangeAspect="1"/>
          </xdr:cNvSpPr>
        </xdr:nvSpPr>
        <xdr:spPr bwMode="auto">
          <a:xfrm>
            <a:off x="410516" y="1195608"/>
            <a:ext cx="164592" cy="164592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</a:t>
            </a:r>
          </a:p>
        </xdr:txBody>
      </xdr:sp>
    </xdr:grpSp>
    <xdr:clientData/>
  </xdr:twoCellAnchor>
  <xdr:twoCellAnchor>
    <xdr:from>
      <xdr:col>4</xdr:col>
      <xdr:colOff>76200</xdr:colOff>
      <xdr:row>24</xdr:row>
      <xdr:rowOff>35243</xdr:rowOff>
    </xdr:from>
    <xdr:to>
      <xdr:col>4</xdr:col>
      <xdr:colOff>240792</xdr:colOff>
      <xdr:row>25</xdr:row>
      <xdr:rowOff>113459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508A8B37-D3A0-C290-F510-4B117A0435C6}"/>
            </a:ext>
          </a:extLst>
        </xdr:cNvPr>
        <xdr:cNvGrpSpPr/>
      </xdr:nvGrpSpPr>
      <xdr:grpSpPr>
        <a:xfrm>
          <a:off x="2369820" y="4896803"/>
          <a:ext cx="164592" cy="261096"/>
          <a:chOff x="2362200" y="4767263"/>
          <a:chExt cx="164592" cy="261096"/>
        </a:xfrm>
      </xdr:grpSpPr>
      <xdr:sp macro="" textlink="">
        <xdr:nvSpPr>
          <xdr:cNvPr id="32" name="Isosceles Triangle 31">
            <a:extLst>
              <a:ext uri="{FF2B5EF4-FFF2-40B4-BE49-F238E27FC236}">
                <a16:creationId xmlns:a16="http://schemas.microsoft.com/office/drawing/2014/main" id="{7CB7F22E-AFCB-1F51-D84F-944B299F9D40}"/>
              </a:ext>
            </a:extLst>
          </xdr:cNvPr>
          <xdr:cNvSpPr>
            <a:spLocks noChangeAspect="1"/>
          </xdr:cNvSpPr>
        </xdr:nvSpPr>
        <xdr:spPr bwMode="auto">
          <a:xfrm>
            <a:off x="2374395" y="4767263"/>
            <a:ext cx="137160" cy="73152"/>
          </a:xfrm>
          <a:prstGeom prst="triangle">
            <a:avLst/>
          </a:prstGeom>
          <a:solidFill>
            <a:schemeClr val="tx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  <xdr:sp macro="" textlink="">
        <xdr:nvSpPr>
          <xdr:cNvPr id="33" name="Oval 32">
            <a:extLst>
              <a:ext uri="{FF2B5EF4-FFF2-40B4-BE49-F238E27FC236}">
                <a16:creationId xmlns:a16="http://schemas.microsoft.com/office/drawing/2014/main" id="{8B9A648B-D053-1BFC-9218-6D14F934AA63}"/>
              </a:ext>
            </a:extLst>
          </xdr:cNvPr>
          <xdr:cNvSpPr>
            <a:spLocks noChangeAspect="1"/>
          </xdr:cNvSpPr>
        </xdr:nvSpPr>
        <xdr:spPr bwMode="auto">
          <a:xfrm flipV="1">
            <a:off x="2362200" y="4861862"/>
            <a:ext cx="164592" cy="166497"/>
          </a:xfrm>
          <a:prstGeom prst="ellipse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0" tIns="0" rIns="0" bIns="0" rtlCol="0" anchor="ctr" upright="1"/>
          <a:lstStyle/>
          <a:p>
            <a:pPr algn="ctr"/>
            <a:r>
              <a:rPr lang="en-US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</a:t>
            </a:r>
          </a:p>
        </xdr:txBody>
      </xdr:sp>
    </xdr:grpSp>
    <xdr:clientData/>
  </xdr:twoCellAnchor>
  <xdr:twoCellAnchor editAs="oneCell">
    <xdr:from>
      <xdr:col>5</xdr:col>
      <xdr:colOff>571502</xdr:colOff>
      <xdr:row>2</xdr:row>
      <xdr:rowOff>60960</xdr:rowOff>
    </xdr:from>
    <xdr:to>
      <xdr:col>6</xdr:col>
      <xdr:colOff>917335</xdr:colOff>
      <xdr:row>3</xdr:row>
      <xdr:rowOff>15240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C6FAA033-2F24-6AA4-2451-20ECC3780F7D}"/>
            </a:ext>
          </a:extLst>
        </xdr:cNvPr>
        <xdr:cNvGrpSpPr>
          <a:grpSpLocks noChangeAspect="1"/>
        </xdr:cNvGrpSpPr>
      </xdr:nvGrpSpPr>
      <xdr:grpSpPr>
        <a:xfrm>
          <a:off x="3787142" y="243840"/>
          <a:ext cx="1267853" cy="579120"/>
          <a:chOff x="6256020" y="182880"/>
          <a:chExt cx="1669264" cy="762472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3C7AD4E2-A6F1-4B76-BED6-55953470EA15}"/>
              </a:ext>
            </a:extLst>
          </xdr:cNvPr>
          <xdr:cNvGrpSpPr>
            <a:grpSpLocks noChangeAspect="1"/>
          </xdr:cNvGrpSpPr>
        </xdr:nvGrpSpPr>
        <xdr:grpSpPr>
          <a:xfrm>
            <a:off x="6256020" y="182880"/>
            <a:ext cx="1669264" cy="762472"/>
            <a:chOff x="3947072" y="14768"/>
            <a:chExt cx="1669264" cy="762472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5AC5D8F6-6F03-EF82-BFBE-0D6CC1786F47}"/>
                </a:ext>
              </a:extLst>
            </xdr:cNvPr>
            <xdr:cNvPicPr preferRelativeResize="0"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3956896" y="14768"/>
              <a:ext cx="1649030" cy="633371"/>
            </a:xfrm>
            <a:prstGeom prst="rect">
              <a:avLst/>
            </a:prstGeom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75A5AED5-4D05-B477-4BC9-68B379C4CE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947072" y="634578"/>
              <a:ext cx="1669264" cy="142662"/>
            </a:xfrm>
            <a:prstGeom prst="rect">
              <a:avLst/>
            </a:prstGeom>
          </xdr:spPr>
        </xdr:pic>
      </xdr:grpSp>
      <xdr:sp macro="" textlink="">
        <xdr:nvSpPr>
          <xdr:cNvPr id="28" name="Rectangle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B5857CB-CF57-4E20-925C-0E5A168A1731}"/>
              </a:ext>
            </a:extLst>
          </xdr:cNvPr>
          <xdr:cNvSpPr>
            <a:spLocks noChangeAspect="1"/>
          </xdr:cNvSpPr>
        </xdr:nvSpPr>
        <xdr:spPr>
          <a:xfrm>
            <a:off x="6484620" y="845820"/>
            <a:ext cx="1325880" cy="457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7</xdr:col>
      <xdr:colOff>601980</xdr:colOff>
      <xdr:row>24</xdr:row>
      <xdr:rowOff>45720</xdr:rowOff>
    </xdr:from>
    <xdr:to>
      <xdr:col>9</xdr:col>
      <xdr:colOff>748619</xdr:colOff>
      <xdr:row>26</xdr:row>
      <xdr:rowOff>91255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DA403-7162-40D0-B8AF-EA2A367B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4907280"/>
          <a:ext cx="1990679" cy="37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2E5E-033C-401D-9198-82DBCB152A8E}">
  <sheetPr codeName="Sheet1"/>
  <dimension ref="A1:CS157"/>
  <sheetViews>
    <sheetView showGridLines="0" showRowColHeaders="0" tabSelected="1" zoomScaleNormal="100" zoomScaleSheetLayoutView="100" workbookViewId="0">
      <selection activeCell="L4" sqref="L4"/>
    </sheetView>
  </sheetViews>
  <sheetFormatPr defaultColWidth="9.109375" defaultRowHeight="14.4" x14ac:dyDescent="0.3"/>
  <cols>
    <col min="1" max="1" width="3.5546875" style="15" customWidth="1"/>
    <col min="2" max="2" width="3.77734375" style="15" customWidth="1"/>
    <col min="3" max="3" width="10.21875" style="15" customWidth="1"/>
    <col min="4" max="4" width="15.88671875" style="15" customWidth="1"/>
    <col min="5" max="14" width="13.44140625" style="15" customWidth="1"/>
    <col min="15" max="55" width="12" style="34" customWidth="1"/>
    <col min="56" max="56" width="15.88671875" style="7" customWidth="1"/>
    <col min="57" max="57" width="0.109375" style="59" customWidth="1"/>
    <col min="58" max="59" width="0.109375" style="60" customWidth="1"/>
    <col min="60" max="61" width="0.109375" style="59" customWidth="1"/>
    <col min="62" max="78" width="0.109375" style="60" customWidth="1"/>
    <col min="79" max="81" width="0.109375" style="59" customWidth="1"/>
    <col min="82" max="86" width="0.109375" style="60" customWidth="1"/>
    <col min="87" max="87" width="0.109375" style="59" customWidth="1"/>
    <col min="88" max="93" width="0.109375" style="48" customWidth="1"/>
    <col min="94" max="16384" width="9.109375" style="7"/>
  </cols>
  <sheetData>
    <row r="1" spans="1:97" s="1" customFormat="1" ht="4.2" customHeight="1" x14ac:dyDescent="0.2">
      <c r="B1" s="2"/>
      <c r="D1" s="3"/>
      <c r="E1" s="4"/>
      <c r="F1" s="4"/>
      <c r="G1" s="4"/>
      <c r="H1" s="4"/>
      <c r="I1" s="4"/>
      <c r="J1" s="2"/>
      <c r="K1" s="3"/>
      <c r="L1" s="3"/>
      <c r="M1" s="3"/>
      <c r="N1" s="3"/>
      <c r="BD1" s="3"/>
      <c r="BE1" s="55"/>
      <c r="BF1" s="56"/>
      <c r="BG1" s="56"/>
      <c r="BH1" s="57"/>
      <c r="BI1" s="55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5"/>
      <c r="CB1" s="57"/>
      <c r="CC1" s="55"/>
      <c r="CD1" s="56"/>
      <c r="CE1" s="56"/>
      <c r="CF1" s="58"/>
      <c r="CG1" s="56"/>
      <c r="CH1" s="56"/>
      <c r="CI1" s="57"/>
      <c r="CJ1" s="56"/>
      <c r="CK1" s="56"/>
      <c r="CL1" s="56"/>
      <c r="CM1" s="56"/>
      <c r="CN1" s="56"/>
      <c r="CO1" s="56"/>
      <c r="CP1" s="3"/>
      <c r="CQ1" s="3"/>
      <c r="CR1" s="3"/>
      <c r="CS1" s="4"/>
    </row>
    <row r="2" spans="1:97" s="5" customFormat="1" ht="10.199999999999999" x14ac:dyDescent="0.2">
      <c r="A2" s="35" t="s">
        <v>10</v>
      </c>
      <c r="D2" s="37"/>
      <c r="E2" s="37"/>
      <c r="G2" s="6"/>
      <c r="H2" s="6"/>
      <c r="I2" s="6"/>
      <c r="J2" s="6"/>
      <c r="K2" s="6"/>
      <c r="L2" s="6"/>
      <c r="M2" s="6"/>
      <c r="N2" s="6"/>
      <c r="BD2" s="41"/>
      <c r="BE2" s="59"/>
      <c r="BF2" s="60"/>
      <c r="BG2" s="60"/>
      <c r="BH2" s="59"/>
      <c r="BI2" s="59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59"/>
      <c r="CB2" s="59"/>
      <c r="CC2" s="59"/>
      <c r="CD2" s="60"/>
      <c r="CE2" s="60"/>
      <c r="CF2" s="60"/>
      <c r="CG2" s="60"/>
      <c r="CH2" s="60"/>
      <c r="CI2" s="59"/>
      <c r="CJ2" s="61"/>
      <c r="CK2" s="61"/>
      <c r="CL2" s="61"/>
      <c r="CM2" s="61"/>
      <c r="CN2" s="61"/>
      <c r="CO2" s="61"/>
    </row>
    <row r="3" spans="1:97" s="33" customFormat="1" ht="49.2" customHeight="1" x14ac:dyDescent="0.3">
      <c r="B3" s="36"/>
      <c r="D3" s="38"/>
      <c r="E3" s="38"/>
      <c r="BE3" s="62"/>
      <c r="BF3" s="63"/>
      <c r="BG3" s="63"/>
      <c r="BH3" s="62"/>
      <c r="BI3" s="62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2"/>
      <c r="CB3" s="62"/>
      <c r="CC3" s="62"/>
      <c r="CD3" s="63"/>
      <c r="CE3" s="63"/>
      <c r="CF3" s="63"/>
      <c r="CG3" s="63"/>
      <c r="CH3" s="63"/>
      <c r="CI3" s="62"/>
      <c r="CJ3" s="64"/>
      <c r="CK3" s="48"/>
      <c r="CL3" s="48"/>
      <c r="CM3" s="48"/>
      <c r="CN3" s="48"/>
      <c r="CO3" s="64"/>
    </row>
    <row r="4" spans="1:97" x14ac:dyDescent="0.3">
      <c r="A4" s="16"/>
      <c r="B4" s="16"/>
      <c r="E4" s="16"/>
      <c r="CK4" s="65"/>
      <c r="CN4" s="65"/>
    </row>
    <row r="5" spans="1:97" x14ac:dyDescent="0.3">
      <c r="C5" s="39" t="s">
        <v>18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CK5" s="65"/>
      <c r="CN5" s="65"/>
    </row>
    <row r="6" spans="1:97" x14ac:dyDescent="0.3">
      <c r="C6" s="39" t="s">
        <v>19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CK6" s="65"/>
      <c r="CN6" s="65"/>
    </row>
    <row r="7" spans="1:97" x14ac:dyDescent="0.3">
      <c r="C7" s="40" t="s">
        <v>16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CK7" s="65"/>
      <c r="CN7" s="65"/>
    </row>
    <row r="8" spans="1:97" x14ac:dyDescent="0.3">
      <c r="C8" s="40" t="s">
        <v>17</v>
      </c>
      <c r="D8" s="7"/>
      <c r="E8" s="7"/>
      <c r="F8" s="7"/>
      <c r="G8" s="24"/>
      <c r="H8" s="7"/>
      <c r="I8" s="7"/>
      <c r="J8" s="7"/>
      <c r="K8" s="7"/>
      <c r="L8" s="7"/>
      <c r="M8" s="7"/>
      <c r="N8" s="7"/>
      <c r="CK8" s="65"/>
      <c r="CN8" s="65"/>
    </row>
    <row r="9" spans="1:97" x14ac:dyDescent="0.3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BE9" s="66"/>
      <c r="BK9" s="67"/>
      <c r="CJ9" s="59"/>
      <c r="CK9" s="68"/>
      <c r="CL9" s="59"/>
      <c r="CM9" s="59"/>
      <c r="CN9" s="68"/>
      <c r="CO9" s="59"/>
      <c r="CP9" s="45"/>
    </row>
    <row r="10" spans="1:97" ht="15" customHeight="1" x14ac:dyDescent="0.3">
      <c r="A10" s="20"/>
      <c r="B10" s="16"/>
      <c r="C10" s="21"/>
      <c r="D10" s="25"/>
      <c r="E10" s="118" t="s">
        <v>20</v>
      </c>
      <c r="F10" s="112" t="s">
        <v>21</v>
      </c>
      <c r="G10" s="112" t="s">
        <v>22</v>
      </c>
      <c r="H10" s="112" t="s">
        <v>23</v>
      </c>
      <c r="I10" s="112" t="s">
        <v>24</v>
      </c>
      <c r="J10" s="112" t="s">
        <v>25</v>
      </c>
      <c r="K10" s="112" t="s">
        <v>26</v>
      </c>
      <c r="L10" s="112" t="s">
        <v>27</v>
      </c>
      <c r="M10" s="112" t="s">
        <v>28</v>
      </c>
      <c r="N10" s="114" t="s">
        <v>29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E10" s="66"/>
      <c r="BH10" s="69"/>
      <c r="BI10" s="66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1"/>
      <c r="BU10" s="71"/>
      <c r="BV10" s="72"/>
      <c r="BW10" s="71"/>
      <c r="BX10" s="72"/>
      <c r="BY10" s="72"/>
      <c r="BZ10" s="72"/>
      <c r="CA10" s="69"/>
      <c r="CB10" s="69"/>
      <c r="CC10" s="66"/>
      <c r="CI10" s="69"/>
      <c r="CJ10" s="59"/>
      <c r="CK10" s="68"/>
      <c r="CL10" s="59"/>
      <c r="CM10" s="59"/>
      <c r="CN10" s="68"/>
      <c r="CO10" s="59"/>
      <c r="CP10" s="45"/>
    </row>
    <row r="11" spans="1:97" ht="15" customHeight="1" x14ac:dyDescent="0.3">
      <c r="A11" s="20"/>
      <c r="B11" s="16"/>
      <c r="C11" s="21"/>
      <c r="D11" s="26"/>
      <c r="E11" s="119"/>
      <c r="F11" s="113"/>
      <c r="G11" s="113"/>
      <c r="H11" s="113"/>
      <c r="I11" s="113"/>
      <c r="J11" s="113"/>
      <c r="K11" s="113"/>
      <c r="L11" s="113"/>
      <c r="M11" s="113"/>
      <c r="N11" s="115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E11" s="66" t="s">
        <v>42</v>
      </c>
      <c r="BF11" s="72"/>
      <c r="BG11" s="72"/>
      <c r="BH11" s="69" t="s">
        <v>43</v>
      </c>
      <c r="BI11" s="73" t="s">
        <v>9</v>
      </c>
      <c r="BJ11" s="72" t="str">
        <f t="shared" ref="BJ11:BS11" si="0">E10</f>
        <v>Campus</v>
      </c>
      <c r="BK11" s="72" t="str">
        <f t="shared" si="0"/>
        <v>Cost</v>
      </c>
      <c r="BL11" s="72" t="str">
        <f t="shared" si="0"/>
        <v>Recruiting</v>
      </c>
      <c r="BM11" s="72" t="str">
        <f t="shared" si="0"/>
        <v>Facilities</v>
      </c>
      <c r="BN11" s="72" t="str">
        <f t="shared" si="0"/>
        <v>Faculty</v>
      </c>
      <c r="BO11" s="72" t="str">
        <f t="shared" si="0"/>
        <v>Housing</v>
      </c>
      <c r="BP11" s="72" t="str">
        <f t="shared" si="0"/>
        <v>Location</v>
      </c>
      <c r="BQ11" s="72" t="str">
        <f t="shared" si="0"/>
        <v>Prestige</v>
      </c>
      <c r="BR11" s="72" t="str">
        <f t="shared" si="0"/>
        <v>Social</v>
      </c>
      <c r="BS11" s="72" t="str">
        <f t="shared" si="0"/>
        <v>Academics</v>
      </c>
      <c r="BT11" s="74" t="s">
        <v>1</v>
      </c>
      <c r="BU11" s="74" t="s">
        <v>0</v>
      </c>
      <c r="BV11" s="72"/>
      <c r="BW11" s="71" t="s">
        <v>3</v>
      </c>
      <c r="BX11" s="71" t="s">
        <v>4</v>
      </c>
      <c r="BY11" s="71" t="s">
        <v>5</v>
      </c>
      <c r="BZ11" s="71" t="s">
        <v>6</v>
      </c>
      <c r="CA11" s="69"/>
      <c r="CB11" s="69" t="s">
        <v>43</v>
      </c>
      <c r="CC11" s="73" t="s">
        <v>9</v>
      </c>
      <c r="CD11" s="71" t="s">
        <v>11</v>
      </c>
      <c r="CE11" s="71" t="s">
        <v>12</v>
      </c>
      <c r="CF11" s="71" t="s">
        <v>13</v>
      </c>
      <c r="CG11" s="71" t="s">
        <v>14</v>
      </c>
      <c r="CH11" s="71" t="s">
        <v>15</v>
      </c>
      <c r="CI11" s="69" t="s">
        <v>43</v>
      </c>
      <c r="CJ11" s="66" t="s">
        <v>0</v>
      </c>
      <c r="CK11" s="66" t="s">
        <v>46</v>
      </c>
      <c r="CL11" s="66" t="s">
        <v>42</v>
      </c>
      <c r="CM11" s="66" t="s">
        <v>47</v>
      </c>
      <c r="CN11" s="73" t="s">
        <v>11</v>
      </c>
      <c r="CO11" s="66" t="s">
        <v>45</v>
      </c>
      <c r="CP11" s="45"/>
    </row>
    <row r="12" spans="1:97" ht="15.6" customHeight="1" x14ac:dyDescent="0.3">
      <c r="A12" s="20"/>
      <c r="B12" s="16"/>
      <c r="C12" s="21"/>
      <c r="D12" s="26"/>
      <c r="E12" s="95" t="s">
        <v>7</v>
      </c>
      <c r="F12" s="96" t="s">
        <v>2</v>
      </c>
      <c r="G12" s="96" t="s">
        <v>7</v>
      </c>
      <c r="H12" s="96" t="s">
        <v>8</v>
      </c>
      <c r="I12" s="96" t="s">
        <v>2</v>
      </c>
      <c r="J12" s="96" t="s">
        <v>2</v>
      </c>
      <c r="K12" s="96" t="s">
        <v>8</v>
      </c>
      <c r="L12" s="96" t="s">
        <v>2</v>
      </c>
      <c r="M12" s="96" t="s">
        <v>7</v>
      </c>
      <c r="N12" s="97" t="s">
        <v>7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E12" s="69" t="s">
        <v>7</v>
      </c>
      <c r="BF12" s="72">
        <v>6</v>
      </c>
      <c r="BG12" s="72"/>
      <c r="BH12" s="69" t="s">
        <v>43</v>
      </c>
      <c r="BI12" s="69" t="str">
        <f t="shared" ref="BI12:BI23" si="1">C13</f>
        <v>Amherst College</v>
      </c>
      <c r="BJ12" s="72">
        <f>IFERROR(VLOOKUP(E12,$BE$17:$BF$20,2,FALSE) * VLOOKUP(E$10,$BE$12:$BF$14,2,FALSE),0)</f>
        <v>0</v>
      </c>
      <c r="BK12" s="72">
        <f t="shared" ref="BK12:BK23" si="2">IFERROR(VLOOKUP(F13,$BE$17:$BF$20,2,FALSE) * VLOOKUP(F$12,$BE$12:$BF$14,2,FALSE),0)</f>
        <v>28</v>
      </c>
      <c r="BL12" s="72">
        <f t="shared" ref="BL12:BL23" si="3">IFERROR(VLOOKUP(G13,$BE$17:$BF$20,2,FALSE) * VLOOKUP(G$12,$BE$12:$BF$14,2,FALSE),0)</f>
        <v>-6</v>
      </c>
      <c r="BM12" s="72">
        <f t="shared" ref="BM12:BM23" si="4">IFERROR(VLOOKUP(H13,$BE$17:$BF$20,2,FALSE) * VLOOKUP(H$12,$BE$12:$BF$14,2,FALSE),0)</f>
        <v>10</v>
      </c>
      <c r="BN12" s="72">
        <f t="shared" ref="BN12:BN23" si="5">IFERROR(VLOOKUP(I13,$BE$17:$BF$20,2,FALSE) * VLOOKUP(I$12,$BE$12:$BF$14,2,FALSE),0)</f>
        <v>12</v>
      </c>
      <c r="BO12" s="72">
        <f t="shared" ref="BO12:BO23" si="6">IFERROR(VLOOKUP(J13,$BE$17:$BF$20,2,FALSE) * VLOOKUP(J$12,$BE$12:$BF$14,2,FALSE),0)</f>
        <v>28</v>
      </c>
      <c r="BP12" s="72">
        <f t="shared" ref="BP12:BP23" si="7">IFERROR(VLOOKUP(K13,$BE$17:$BF$20,2,FALSE) * VLOOKUP(K$12,$BE$12:$BF$14,2,FALSE),0)</f>
        <v>7</v>
      </c>
      <c r="BQ12" s="72">
        <f t="shared" ref="BQ12:BQ23" si="8">IFERROR(VLOOKUP(L13,$BE$17:$BF$20,2,FALSE) * VLOOKUP(L$12,$BE$12:$BF$14,2,FALSE),0)</f>
        <v>28</v>
      </c>
      <c r="BR12" s="72">
        <f t="shared" ref="BR12:BR23" si="9">IFERROR(VLOOKUP(M13,$BE$17:$BF$20,2,FALSE) * VLOOKUP(M$12,$BE$12:$BF$14,2,FALSE),0)</f>
        <v>-6</v>
      </c>
      <c r="BS12" s="72">
        <f t="shared" ref="BS12:BS23" si="10">IFERROR(VLOOKUP(N13,$BE$17:$BF$20,2,FALSE) * VLOOKUP(N$12,$BE$12:$BF$14,2,FALSE),0)</f>
        <v>-6</v>
      </c>
      <c r="BT12" s="72">
        <f>SUM(BJ12:BS12)+0.012</f>
        <v>95.012</v>
      </c>
      <c r="BU12" s="72">
        <f t="shared" ref="BU12:BU23" si="11">RANK(BT12,$BT$12:$BT$23)</f>
        <v>11</v>
      </c>
      <c r="BV12" s="72"/>
      <c r="BW12" s="72">
        <f>COUNTIF($E13:$N13,BW$11)</f>
        <v>2</v>
      </c>
      <c r="BX12" s="72">
        <f>COUNTIF($E13:$N13,BX$11)</f>
        <v>4</v>
      </c>
      <c r="BY12" s="72">
        <f>COUNTIF($E13:$N13,BY$11)</f>
        <v>1</v>
      </c>
      <c r="BZ12" s="72">
        <f>COUNTIF($E13:$N13,BZ$11)</f>
        <v>3</v>
      </c>
      <c r="CA12" s="69"/>
      <c r="CB12" s="69" t="s">
        <v>43</v>
      </c>
      <c r="CC12" s="69" t="str">
        <f>INDEX($BI$12:$BT$23,MATCH(12,$BU$12:$BU$23,0),1)</f>
        <v>Cal Tech</v>
      </c>
      <c r="CD12" s="72">
        <f t="shared" ref="CD12:CD23" si="12">VLOOKUP($CC12,$BI$12:$BT$23,12,FALSE)</f>
        <v>90.01</v>
      </c>
      <c r="CE12" s="72">
        <f t="shared" ref="CE12:CE23" si="13">VLOOKUP($CC12,$BI$12:$BZ$23,15,FALSE)</f>
        <v>1</v>
      </c>
      <c r="CF12" s="72">
        <f t="shared" ref="CF12:CF23" si="14">VLOOKUP($CC12,$BI$12:$BZ$23,16,FALSE)</f>
        <v>1</v>
      </c>
      <c r="CG12" s="72">
        <f t="shared" ref="CG12:CG23" si="15">VLOOKUP($CC12,$BI$12:$BZ$23,17,FALSE)</f>
        <v>4</v>
      </c>
      <c r="CH12" s="72">
        <f t="shared" ref="CH12:CH23" si="16">VLOOKUP($CC12,$BI$12:$BZ$23,18,FALSE)</f>
        <v>4</v>
      </c>
      <c r="CI12" s="69" t="s">
        <v>43</v>
      </c>
      <c r="CJ12" s="59">
        <f t="shared" ref="CJ12:CJ21" si="17">RANK(CN12,$CN$12:$CN$21)</f>
        <v>2</v>
      </c>
      <c r="CK12" s="68" t="str">
        <f>BJ11</f>
        <v>Campus</v>
      </c>
      <c r="CL12" s="59" t="str">
        <f>IFERROR( VLOOKUP(E$12,$BE$12:$BF$14,1,FALSE),0)</f>
        <v>Essential</v>
      </c>
      <c r="CM12" s="59" t="str">
        <f>VLOOKUP($CC23,$C$13:$N$24,3,FALSE)</f>
        <v>Excellent</v>
      </c>
      <c r="CN12" s="68">
        <f>VLOOKUP($CC$23,$BI$11:$BT$23,2,FALSE)+0.001</f>
        <v>60.000999999999998</v>
      </c>
      <c r="CO12" s="59">
        <v>1</v>
      </c>
      <c r="CP12" s="45"/>
    </row>
    <row r="13" spans="1:97" ht="15.6" customHeight="1" x14ac:dyDescent="0.3">
      <c r="B13" s="28"/>
      <c r="C13" s="120" t="s">
        <v>30</v>
      </c>
      <c r="D13" s="121"/>
      <c r="E13" s="98" t="s">
        <v>3</v>
      </c>
      <c r="F13" s="99" t="s">
        <v>4</v>
      </c>
      <c r="G13" s="99" t="s">
        <v>6</v>
      </c>
      <c r="H13" s="99" t="s">
        <v>3</v>
      </c>
      <c r="I13" s="99" t="s">
        <v>5</v>
      </c>
      <c r="J13" s="99" t="s">
        <v>4</v>
      </c>
      <c r="K13" s="99" t="s">
        <v>4</v>
      </c>
      <c r="L13" s="99" t="s">
        <v>4</v>
      </c>
      <c r="M13" s="99" t="s">
        <v>6</v>
      </c>
      <c r="N13" s="100" t="s">
        <v>6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42"/>
      <c r="BE13" s="69" t="s">
        <v>2</v>
      </c>
      <c r="BF13" s="72">
        <v>4</v>
      </c>
      <c r="BG13" s="72"/>
      <c r="BH13" s="69" t="s">
        <v>43</v>
      </c>
      <c r="BI13" s="69" t="str">
        <f t="shared" si="1"/>
        <v>Cal State Los Angeles</v>
      </c>
      <c r="BJ13" s="72">
        <f t="shared" ref="BJ13:BJ23" si="18">IFERROR(VLOOKUP(E14,$BE$17:$BF$20,2,FALSE) * VLOOKUP(E$12,$BE$12:$BF$14,2,FALSE),0)</f>
        <v>42</v>
      </c>
      <c r="BK13" s="72">
        <f t="shared" si="2"/>
        <v>12</v>
      </c>
      <c r="BL13" s="72">
        <f t="shared" si="3"/>
        <v>-6</v>
      </c>
      <c r="BM13" s="72">
        <f t="shared" si="4"/>
        <v>10</v>
      </c>
      <c r="BN13" s="72">
        <f t="shared" si="5"/>
        <v>28</v>
      </c>
      <c r="BO13" s="72">
        <f t="shared" si="6"/>
        <v>-4</v>
      </c>
      <c r="BP13" s="72">
        <f t="shared" si="7"/>
        <v>-1</v>
      </c>
      <c r="BQ13" s="72">
        <f t="shared" si="8"/>
        <v>40</v>
      </c>
      <c r="BR13" s="72">
        <f t="shared" si="9"/>
        <v>-6</v>
      </c>
      <c r="BS13" s="72">
        <f t="shared" si="10"/>
        <v>42</v>
      </c>
      <c r="BT13" s="72">
        <f>SUM(BJ13:BS13)+0.011</f>
        <v>157.011</v>
      </c>
      <c r="BU13" s="72">
        <f t="shared" si="11"/>
        <v>9</v>
      </c>
      <c r="BV13" s="72"/>
      <c r="BW13" s="72">
        <f t="shared" ref="BW13:BW23" si="19">COUNTIF($E14:$N14,BW$11)</f>
        <v>2</v>
      </c>
      <c r="BX13" s="72">
        <f t="shared" ref="BX13:BX23" si="20">COUNTIF($E14:$N14,BX$11)</f>
        <v>3</v>
      </c>
      <c r="BY13" s="72">
        <f t="shared" ref="BY13:BY23" si="21">COUNTIF($E14:$N14,BY$11)</f>
        <v>1</v>
      </c>
      <c r="BZ13" s="72">
        <f t="shared" ref="BZ13:BZ23" si="22">COUNTIF($E14:$N14,BZ$11)</f>
        <v>4</v>
      </c>
      <c r="CA13" s="69"/>
      <c r="CB13" s="69" t="s">
        <v>43</v>
      </c>
      <c r="CC13" s="69" t="str">
        <f>INDEX($BI$12:$BS$23,MATCH(11,$BU$12:$BU$23,0),1)</f>
        <v>Amherst College</v>
      </c>
      <c r="CD13" s="72">
        <f t="shared" si="12"/>
        <v>95.012</v>
      </c>
      <c r="CE13" s="72">
        <f t="shared" si="13"/>
        <v>2</v>
      </c>
      <c r="CF13" s="72">
        <f t="shared" si="14"/>
        <v>4</v>
      </c>
      <c r="CG13" s="72">
        <f t="shared" si="15"/>
        <v>1</v>
      </c>
      <c r="CH13" s="72">
        <f t="shared" si="16"/>
        <v>3</v>
      </c>
      <c r="CI13" s="69" t="s">
        <v>43</v>
      </c>
      <c r="CJ13" s="59">
        <f t="shared" si="17"/>
        <v>10</v>
      </c>
      <c r="CK13" s="68" t="str">
        <f>BK11</f>
        <v>Cost</v>
      </c>
      <c r="CL13" s="59" t="str">
        <f>IFERROR( VLOOKUP(F$12,$BE$12:$BF$14,1,FALSE),0)</f>
        <v>Important</v>
      </c>
      <c r="CM13" s="59" t="str">
        <f>VLOOKUP($CC23,$C$13:$N$24,4,FALSE)</f>
        <v>Poor</v>
      </c>
      <c r="CN13" s="68">
        <f>VLOOKUP($CC$23,$BI$11:$BT$23,3,FALSE)+0.002</f>
        <v>-3.9980000000000002</v>
      </c>
      <c r="CO13" s="59">
        <v>2</v>
      </c>
      <c r="CP13" s="45"/>
    </row>
    <row r="14" spans="1:97" ht="15.6" customHeight="1" x14ac:dyDescent="0.3">
      <c r="B14" s="28"/>
      <c r="C14" s="110" t="s">
        <v>31</v>
      </c>
      <c r="D14" s="111"/>
      <c r="E14" s="101" t="s">
        <v>4</v>
      </c>
      <c r="F14" s="102" t="s">
        <v>5</v>
      </c>
      <c r="G14" s="102" t="s">
        <v>6</v>
      </c>
      <c r="H14" s="102" t="s">
        <v>3</v>
      </c>
      <c r="I14" s="102" t="s">
        <v>4</v>
      </c>
      <c r="J14" s="102" t="s">
        <v>6</v>
      </c>
      <c r="K14" s="102" t="s">
        <v>6</v>
      </c>
      <c r="L14" s="102" t="s">
        <v>3</v>
      </c>
      <c r="M14" s="102" t="s">
        <v>6</v>
      </c>
      <c r="N14" s="103" t="s">
        <v>4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42"/>
      <c r="BE14" s="69" t="s">
        <v>8</v>
      </c>
      <c r="BF14" s="72">
        <v>1</v>
      </c>
      <c r="BG14" s="72"/>
      <c r="BH14" s="69" t="s">
        <v>43</v>
      </c>
      <c r="BI14" s="69" t="str">
        <f t="shared" si="1"/>
        <v>Cal Tech</v>
      </c>
      <c r="BJ14" s="72">
        <f t="shared" si="18"/>
        <v>18</v>
      </c>
      <c r="BK14" s="72">
        <f t="shared" si="2"/>
        <v>12</v>
      </c>
      <c r="BL14" s="72">
        <f t="shared" si="3"/>
        <v>18</v>
      </c>
      <c r="BM14" s="72">
        <f t="shared" si="4"/>
        <v>7</v>
      </c>
      <c r="BN14" s="72">
        <f t="shared" si="5"/>
        <v>40</v>
      </c>
      <c r="BO14" s="72">
        <f t="shared" si="6"/>
        <v>12</v>
      </c>
      <c r="BP14" s="72">
        <f t="shared" si="7"/>
        <v>-1</v>
      </c>
      <c r="BQ14" s="72">
        <f t="shared" si="8"/>
        <v>-4</v>
      </c>
      <c r="BR14" s="72">
        <f t="shared" si="9"/>
        <v>-6</v>
      </c>
      <c r="BS14" s="72">
        <f t="shared" si="10"/>
        <v>-6</v>
      </c>
      <c r="BT14" s="72">
        <f>SUM(BJ14:BS14)+0.01</f>
        <v>90.01</v>
      </c>
      <c r="BU14" s="72">
        <f t="shared" si="11"/>
        <v>12</v>
      </c>
      <c r="BV14" s="72"/>
      <c r="BW14" s="72">
        <f t="shared" si="19"/>
        <v>1</v>
      </c>
      <c r="BX14" s="72">
        <f t="shared" si="20"/>
        <v>1</v>
      </c>
      <c r="BY14" s="72">
        <f t="shared" si="21"/>
        <v>4</v>
      </c>
      <c r="BZ14" s="72">
        <f t="shared" si="22"/>
        <v>4</v>
      </c>
      <c r="CA14" s="69"/>
      <c r="CB14" s="69" t="s">
        <v>43</v>
      </c>
      <c r="CC14" s="69" t="str">
        <f>INDEX($BI$12:$BS$23,MATCH(10,$BU$12:$BU$23,0),1)</f>
        <v>Santa Monica College</v>
      </c>
      <c r="CD14" s="72">
        <f t="shared" si="12"/>
        <v>149.00299999999999</v>
      </c>
      <c r="CE14" s="72">
        <f t="shared" si="13"/>
        <v>1</v>
      </c>
      <c r="CF14" s="72">
        <f t="shared" si="14"/>
        <v>4</v>
      </c>
      <c r="CG14" s="72">
        <f t="shared" si="15"/>
        <v>2</v>
      </c>
      <c r="CH14" s="72">
        <f t="shared" si="16"/>
        <v>3</v>
      </c>
      <c r="CI14" s="69" t="s">
        <v>43</v>
      </c>
      <c r="CJ14" s="59">
        <f t="shared" si="17"/>
        <v>1</v>
      </c>
      <c r="CK14" s="69" t="str">
        <f>BL11</f>
        <v>Recruiting</v>
      </c>
      <c r="CL14" s="59" t="str">
        <f>IFERROR( VLOOKUP(G$12,$BE$12:$BF$14,1,FALSE),0)</f>
        <v>Essential</v>
      </c>
      <c r="CM14" s="59" t="str">
        <f>VLOOKUP($CC23,$C$13:$N$24,5,FALSE)</f>
        <v>Excellent</v>
      </c>
      <c r="CN14" s="68">
        <f>VLOOKUP($CC$23,$BI$11:$BT$23,4,FALSE)+0.003</f>
        <v>60.003</v>
      </c>
      <c r="CO14" s="59">
        <v>3</v>
      </c>
      <c r="CP14" s="45"/>
    </row>
    <row r="15" spans="1:97" ht="15.6" customHeight="1" x14ac:dyDescent="0.3">
      <c r="B15" s="28"/>
      <c r="C15" s="110" t="s">
        <v>32</v>
      </c>
      <c r="D15" s="111"/>
      <c r="E15" s="101" t="s">
        <v>5</v>
      </c>
      <c r="F15" s="102" t="s">
        <v>5</v>
      </c>
      <c r="G15" s="102" t="s">
        <v>5</v>
      </c>
      <c r="H15" s="102" t="s">
        <v>4</v>
      </c>
      <c r="I15" s="102" t="s">
        <v>3</v>
      </c>
      <c r="J15" s="102" t="s">
        <v>5</v>
      </c>
      <c r="K15" s="102" t="s">
        <v>6</v>
      </c>
      <c r="L15" s="102" t="s">
        <v>6</v>
      </c>
      <c r="M15" s="102" t="s">
        <v>6</v>
      </c>
      <c r="N15" s="103" t="s">
        <v>6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42"/>
      <c r="BH15" s="69" t="s">
        <v>43</v>
      </c>
      <c r="BI15" s="69" t="str">
        <f t="shared" si="1"/>
        <v>City College of New York</v>
      </c>
      <c r="BJ15" s="72">
        <f t="shared" si="18"/>
        <v>-6</v>
      </c>
      <c r="BK15" s="72">
        <f t="shared" si="2"/>
        <v>40</v>
      </c>
      <c r="BL15" s="72">
        <f t="shared" si="3"/>
        <v>60</v>
      </c>
      <c r="BM15" s="72">
        <f t="shared" si="4"/>
        <v>10</v>
      </c>
      <c r="BN15" s="72">
        <f t="shared" si="5"/>
        <v>40</v>
      </c>
      <c r="BO15" s="72">
        <f t="shared" si="6"/>
        <v>40</v>
      </c>
      <c r="BP15" s="72">
        <f t="shared" si="7"/>
        <v>10</v>
      </c>
      <c r="BQ15" s="72">
        <f t="shared" si="8"/>
        <v>-4</v>
      </c>
      <c r="BR15" s="72">
        <f t="shared" si="9"/>
        <v>18</v>
      </c>
      <c r="BS15" s="72">
        <f t="shared" si="10"/>
        <v>18</v>
      </c>
      <c r="BT15" s="72">
        <f>SUM(BJ15:BS15)+0.009</f>
        <v>226.00899999999999</v>
      </c>
      <c r="BU15" s="72">
        <f t="shared" si="11"/>
        <v>6</v>
      </c>
      <c r="BV15" s="72"/>
      <c r="BW15" s="72">
        <f t="shared" si="19"/>
        <v>6</v>
      </c>
      <c r="BX15" s="72">
        <f t="shared" si="20"/>
        <v>0</v>
      </c>
      <c r="BY15" s="72">
        <f t="shared" si="21"/>
        <v>2</v>
      </c>
      <c r="BZ15" s="72">
        <f t="shared" si="22"/>
        <v>2</v>
      </c>
      <c r="CA15" s="69"/>
      <c r="CB15" s="69" t="s">
        <v>43</v>
      </c>
      <c r="CC15" s="69" t="str">
        <f>INDEX($BI$12:$BS$23,MATCH(9,$BU$12:$BU$23,0),1)</f>
        <v>Cal State Los Angeles</v>
      </c>
      <c r="CD15" s="72">
        <f t="shared" si="12"/>
        <v>157.011</v>
      </c>
      <c r="CE15" s="72">
        <f t="shared" si="13"/>
        <v>2</v>
      </c>
      <c r="CF15" s="72">
        <f t="shared" si="14"/>
        <v>3</v>
      </c>
      <c r="CG15" s="72">
        <f t="shared" si="15"/>
        <v>1</v>
      </c>
      <c r="CH15" s="72">
        <f t="shared" si="16"/>
        <v>4</v>
      </c>
      <c r="CI15" s="69" t="s">
        <v>43</v>
      </c>
      <c r="CJ15" s="59">
        <f t="shared" si="17"/>
        <v>8</v>
      </c>
      <c r="CK15" s="69" t="str">
        <f>BM11</f>
        <v>Facilities</v>
      </c>
      <c r="CL15" s="59" t="str">
        <f>IFERROR( VLOOKUP(H$12,$BE$12:$BF$14,1,FALSE),0)</f>
        <v>Nice-to-have</v>
      </c>
      <c r="CM15" s="59" t="str">
        <f>VLOOKUP($CC23,$C$13:$N$24,6,FALSE)</f>
        <v>Good</v>
      </c>
      <c r="CN15" s="68">
        <f>VLOOKUP($CC$23,$BI$11:$BT$23,5,FALSE)+0.004</f>
        <v>7.0039999999999996</v>
      </c>
      <c r="CO15" s="59">
        <v>4</v>
      </c>
      <c r="CP15" s="45"/>
    </row>
    <row r="16" spans="1:97" ht="15.6" customHeight="1" x14ac:dyDescent="0.3">
      <c r="B16" s="28"/>
      <c r="C16" s="110" t="s">
        <v>33</v>
      </c>
      <c r="D16" s="111"/>
      <c r="E16" s="101" t="s">
        <v>6</v>
      </c>
      <c r="F16" s="102" t="s">
        <v>3</v>
      </c>
      <c r="G16" s="102" t="s">
        <v>3</v>
      </c>
      <c r="H16" s="102" t="s">
        <v>3</v>
      </c>
      <c r="I16" s="102" t="s">
        <v>3</v>
      </c>
      <c r="J16" s="102" t="s">
        <v>3</v>
      </c>
      <c r="K16" s="102" t="s">
        <v>3</v>
      </c>
      <c r="L16" s="102" t="s">
        <v>6</v>
      </c>
      <c r="M16" s="102" t="s">
        <v>5</v>
      </c>
      <c r="N16" s="103" t="s">
        <v>5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42"/>
      <c r="BE16" s="66" t="s">
        <v>1</v>
      </c>
      <c r="BH16" s="69" t="s">
        <v>43</v>
      </c>
      <c r="BI16" s="69" t="str">
        <f t="shared" si="1"/>
        <v>Northwestern University</v>
      </c>
      <c r="BJ16" s="72">
        <f t="shared" si="18"/>
        <v>18</v>
      </c>
      <c r="BK16" s="72">
        <f t="shared" si="2"/>
        <v>12</v>
      </c>
      <c r="BL16" s="72">
        <f t="shared" si="3"/>
        <v>-6</v>
      </c>
      <c r="BM16" s="72">
        <f t="shared" si="4"/>
        <v>7</v>
      </c>
      <c r="BN16" s="72">
        <f t="shared" si="5"/>
        <v>40</v>
      </c>
      <c r="BO16" s="72">
        <f t="shared" si="6"/>
        <v>28</v>
      </c>
      <c r="BP16" s="72">
        <f t="shared" si="7"/>
        <v>10</v>
      </c>
      <c r="BQ16" s="72">
        <f t="shared" si="8"/>
        <v>28</v>
      </c>
      <c r="BR16" s="72">
        <f t="shared" si="9"/>
        <v>18</v>
      </c>
      <c r="BS16" s="72">
        <f t="shared" si="10"/>
        <v>42</v>
      </c>
      <c r="BT16" s="72">
        <f>SUM(BJ16:BS16)+0.008</f>
        <v>197.00800000000001</v>
      </c>
      <c r="BU16" s="72">
        <f t="shared" si="11"/>
        <v>7</v>
      </c>
      <c r="BV16" s="72"/>
      <c r="BW16" s="72">
        <f t="shared" si="19"/>
        <v>2</v>
      </c>
      <c r="BX16" s="72">
        <f t="shared" si="20"/>
        <v>4</v>
      </c>
      <c r="BY16" s="72">
        <f t="shared" si="21"/>
        <v>3</v>
      </c>
      <c r="BZ16" s="72">
        <f t="shared" si="22"/>
        <v>1</v>
      </c>
      <c r="CA16" s="69"/>
      <c r="CB16" s="69" t="s">
        <v>43</v>
      </c>
      <c r="CC16" s="69" t="str">
        <f>INDEX($BI$12:$BS$23,MATCH(8,$BU$12:$BU$23,0),1)</f>
        <v>University of Utah</v>
      </c>
      <c r="CD16" s="72">
        <f t="shared" si="12"/>
        <v>168.001</v>
      </c>
      <c r="CE16" s="72">
        <f t="shared" si="13"/>
        <v>1</v>
      </c>
      <c r="CF16" s="72">
        <f t="shared" si="14"/>
        <v>2</v>
      </c>
      <c r="CG16" s="72">
        <f t="shared" si="15"/>
        <v>3</v>
      </c>
      <c r="CH16" s="72">
        <f t="shared" si="16"/>
        <v>4</v>
      </c>
      <c r="CI16" s="69" t="s">
        <v>43</v>
      </c>
      <c r="CJ16" s="59">
        <f t="shared" si="17"/>
        <v>4</v>
      </c>
      <c r="CK16" s="69" t="str">
        <f>BN11</f>
        <v>Faculty</v>
      </c>
      <c r="CL16" s="59" t="str">
        <f>IFERROR( VLOOKUP(I$12,$BE$12:$BF$14,1,FALSE),0)</f>
        <v>Important</v>
      </c>
      <c r="CM16" s="59" t="str">
        <f>VLOOKUP($CC23,$C$13:$N$24,7,FALSE)</f>
        <v>Excellent</v>
      </c>
      <c r="CN16" s="68">
        <f>VLOOKUP($CC$23,$BI$11:$BT$23,6,FALSE)+0.005</f>
        <v>40.005000000000003</v>
      </c>
      <c r="CO16" s="59">
        <v>5</v>
      </c>
      <c r="CP16" s="45"/>
    </row>
    <row r="17" spans="1:94" ht="15.6" customHeight="1" x14ac:dyDescent="0.3">
      <c r="B17" s="28"/>
      <c r="C17" s="110" t="s">
        <v>34</v>
      </c>
      <c r="D17" s="111"/>
      <c r="E17" s="101" t="s">
        <v>5</v>
      </c>
      <c r="F17" s="102" t="s">
        <v>5</v>
      </c>
      <c r="G17" s="102" t="s">
        <v>6</v>
      </c>
      <c r="H17" s="102" t="s">
        <v>4</v>
      </c>
      <c r="I17" s="102" t="s">
        <v>3</v>
      </c>
      <c r="J17" s="102" t="s">
        <v>4</v>
      </c>
      <c r="K17" s="102" t="s">
        <v>3</v>
      </c>
      <c r="L17" s="102" t="s">
        <v>4</v>
      </c>
      <c r="M17" s="102" t="s">
        <v>5</v>
      </c>
      <c r="N17" s="103" t="s">
        <v>4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43"/>
      <c r="BE17" s="69" t="s">
        <v>3</v>
      </c>
      <c r="BF17" s="72">
        <v>10</v>
      </c>
      <c r="BG17" s="72">
        <v>3</v>
      </c>
      <c r="BH17" s="69" t="s">
        <v>43</v>
      </c>
      <c r="BI17" s="69" t="str">
        <f t="shared" si="1"/>
        <v>St. Johns University</v>
      </c>
      <c r="BJ17" s="72">
        <f t="shared" si="18"/>
        <v>60</v>
      </c>
      <c r="BK17" s="72">
        <f t="shared" si="2"/>
        <v>-4</v>
      </c>
      <c r="BL17" s="72">
        <f t="shared" si="3"/>
        <v>60</v>
      </c>
      <c r="BM17" s="72">
        <f t="shared" si="4"/>
        <v>10</v>
      </c>
      <c r="BN17" s="72">
        <f t="shared" si="5"/>
        <v>-4</v>
      </c>
      <c r="BO17" s="72">
        <f t="shared" si="6"/>
        <v>28</v>
      </c>
      <c r="BP17" s="72">
        <f t="shared" si="7"/>
        <v>-1</v>
      </c>
      <c r="BQ17" s="72">
        <f t="shared" si="8"/>
        <v>40</v>
      </c>
      <c r="BR17" s="72">
        <f t="shared" si="9"/>
        <v>-6</v>
      </c>
      <c r="BS17" s="72">
        <f t="shared" si="10"/>
        <v>60</v>
      </c>
      <c r="BT17" s="72">
        <f>SUM(BJ17:BS17)+0.007</f>
        <v>243.00700000000001</v>
      </c>
      <c r="BU17" s="72">
        <f t="shared" si="11"/>
        <v>4</v>
      </c>
      <c r="BV17" s="72"/>
      <c r="BW17" s="72">
        <f t="shared" si="19"/>
        <v>5</v>
      </c>
      <c r="BX17" s="72">
        <f t="shared" si="20"/>
        <v>1</v>
      </c>
      <c r="BY17" s="72">
        <f t="shared" si="21"/>
        <v>0</v>
      </c>
      <c r="BZ17" s="72">
        <f t="shared" si="22"/>
        <v>4</v>
      </c>
      <c r="CA17" s="69"/>
      <c r="CB17" s="69" t="s">
        <v>43</v>
      </c>
      <c r="CC17" s="69" t="str">
        <f>INDEX($BI$12:$BS$23,MATCH(7,$BU$12:$BU$23,0),1)</f>
        <v>Northwestern University</v>
      </c>
      <c r="CD17" s="72">
        <f t="shared" si="12"/>
        <v>197.00800000000001</v>
      </c>
      <c r="CE17" s="72">
        <f t="shared" si="13"/>
        <v>2</v>
      </c>
      <c r="CF17" s="72">
        <f t="shared" si="14"/>
        <v>4</v>
      </c>
      <c r="CG17" s="72">
        <f t="shared" si="15"/>
        <v>3</v>
      </c>
      <c r="CH17" s="72">
        <f t="shared" si="16"/>
        <v>1</v>
      </c>
      <c r="CI17" s="69" t="s">
        <v>43</v>
      </c>
      <c r="CJ17" s="59">
        <f t="shared" si="17"/>
        <v>7</v>
      </c>
      <c r="CK17" s="69" t="str">
        <f>BO11</f>
        <v>Housing</v>
      </c>
      <c r="CL17" s="59" t="str">
        <f>IFERROR( VLOOKUP(J$12,$BE$12:$BF$14,1,FALSE),0)</f>
        <v>Important</v>
      </c>
      <c r="CM17" s="59" t="str">
        <f>VLOOKUP($CC23,$C$13:$N$24,8,FALSE)</f>
        <v>Fair</v>
      </c>
      <c r="CN17" s="68">
        <f>VLOOKUP($CC$23,$BI$11:$BT$23,7,FALSE)+0.006</f>
        <v>12.006</v>
      </c>
      <c r="CO17" s="59">
        <v>6</v>
      </c>
      <c r="CP17" s="45"/>
    </row>
    <row r="18" spans="1:94" ht="15.6" customHeight="1" x14ac:dyDescent="0.3">
      <c r="B18" s="28"/>
      <c r="C18" s="110" t="s">
        <v>35</v>
      </c>
      <c r="D18" s="111"/>
      <c r="E18" s="101" t="s">
        <v>3</v>
      </c>
      <c r="F18" s="102" t="s">
        <v>6</v>
      </c>
      <c r="G18" s="102" t="s">
        <v>3</v>
      </c>
      <c r="H18" s="102" t="s">
        <v>3</v>
      </c>
      <c r="I18" s="102" t="s">
        <v>6</v>
      </c>
      <c r="J18" s="102" t="s">
        <v>4</v>
      </c>
      <c r="K18" s="102" t="s">
        <v>6</v>
      </c>
      <c r="L18" s="102" t="s">
        <v>3</v>
      </c>
      <c r="M18" s="102" t="s">
        <v>6</v>
      </c>
      <c r="N18" s="103" t="s">
        <v>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44"/>
      <c r="BE18" s="69" t="s">
        <v>4</v>
      </c>
      <c r="BF18" s="72">
        <v>7</v>
      </c>
      <c r="BG18" s="72">
        <v>2</v>
      </c>
      <c r="BH18" s="69" t="s">
        <v>43</v>
      </c>
      <c r="BI18" s="69" t="str">
        <f t="shared" si="1"/>
        <v>UCLA</v>
      </c>
      <c r="BJ18" s="72">
        <f t="shared" si="18"/>
        <v>60</v>
      </c>
      <c r="BK18" s="72">
        <f t="shared" si="2"/>
        <v>12</v>
      </c>
      <c r="BL18" s="72">
        <f t="shared" si="3"/>
        <v>18</v>
      </c>
      <c r="BM18" s="72">
        <f t="shared" si="4"/>
        <v>3</v>
      </c>
      <c r="BN18" s="72">
        <f t="shared" si="5"/>
        <v>12</v>
      </c>
      <c r="BO18" s="72">
        <f t="shared" si="6"/>
        <v>40</v>
      </c>
      <c r="BP18" s="72">
        <f t="shared" si="7"/>
        <v>-1</v>
      </c>
      <c r="BQ18" s="72">
        <f t="shared" si="8"/>
        <v>40</v>
      </c>
      <c r="BR18" s="72">
        <f t="shared" si="9"/>
        <v>42</v>
      </c>
      <c r="BS18" s="72">
        <f t="shared" si="10"/>
        <v>18</v>
      </c>
      <c r="BT18" s="72">
        <f>SUM(BJ18:BS18)+0.006</f>
        <v>244.006</v>
      </c>
      <c r="BU18" s="72">
        <f t="shared" si="11"/>
        <v>2</v>
      </c>
      <c r="BV18" s="72"/>
      <c r="BW18" s="72">
        <f t="shared" si="19"/>
        <v>3</v>
      </c>
      <c r="BX18" s="72">
        <f t="shared" si="20"/>
        <v>1</v>
      </c>
      <c r="BY18" s="72">
        <f t="shared" si="21"/>
        <v>5</v>
      </c>
      <c r="BZ18" s="72">
        <f t="shared" si="22"/>
        <v>1</v>
      </c>
      <c r="CA18" s="69"/>
      <c r="CB18" s="69" t="s">
        <v>43</v>
      </c>
      <c r="CC18" s="69" t="str">
        <f>INDEX($BI$12:$BS$23,MATCH(6,$BU$12:$BU$23,0),1)</f>
        <v>City College of New York</v>
      </c>
      <c r="CD18" s="72">
        <f t="shared" si="12"/>
        <v>226.00899999999999</v>
      </c>
      <c r="CE18" s="72">
        <f t="shared" si="13"/>
        <v>6</v>
      </c>
      <c r="CF18" s="72">
        <f t="shared" si="14"/>
        <v>0</v>
      </c>
      <c r="CG18" s="72">
        <f t="shared" si="15"/>
        <v>2</v>
      </c>
      <c r="CH18" s="72">
        <f t="shared" si="16"/>
        <v>2</v>
      </c>
      <c r="CI18" s="69" t="s">
        <v>43</v>
      </c>
      <c r="CJ18" s="59">
        <f t="shared" si="17"/>
        <v>9</v>
      </c>
      <c r="CK18" s="69" t="str">
        <f>BP11</f>
        <v>Location</v>
      </c>
      <c r="CL18" s="59" t="str">
        <f>IFERROR( VLOOKUP(K$12,$BE$12:$BF$14,1,FALSE),0)</f>
        <v>Nice-to-have</v>
      </c>
      <c r="CM18" s="59" t="str">
        <f>VLOOKUP($CC23,$C$13:$N$24,9,FALSE)</f>
        <v>Poor</v>
      </c>
      <c r="CN18" s="68">
        <f>VLOOKUP($CC$23,$BI$11:$BT$23,8,FALSE)+0.007</f>
        <v>-0.99299999999999999</v>
      </c>
      <c r="CO18" s="59">
        <v>7</v>
      </c>
      <c r="CP18" s="45"/>
    </row>
    <row r="19" spans="1:94" ht="15.6" customHeight="1" x14ac:dyDescent="0.3">
      <c r="B19" s="28"/>
      <c r="C19" s="110" t="s">
        <v>36</v>
      </c>
      <c r="D19" s="111"/>
      <c r="E19" s="101" t="s">
        <v>3</v>
      </c>
      <c r="F19" s="102" t="s">
        <v>5</v>
      </c>
      <c r="G19" s="102" t="s">
        <v>5</v>
      </c>
      <c r="H19" s="102" t="s">
        <v>5</v>
      </c>
      <c r="I19" s="102" t="s">
        <v>5</v>
      </c>
      <c r="J19" s="102" t="s">
        <v>3</v>
      </c>
      <c r="K19" s="102" t="s">
        <v>6</v>
      </c>
      <c r="L19" s="102" t="s">
        <v>3</v>
      </c>
      <c r="M19" s="102" t="s">
        <v>4</v>
      </c>
      <c r="N19" s="103" t="s">
        <v>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E19" s="69" t="s">
        <v>5</v>
      </c>
      <c r="BF19" s="72">
        <v>3</v>
      </c>
      <c r="BG19" s="72">
        <v>1</v>
      </c>
      <c r="BH19" s="69" t="s">
        <v>43</v>
      </c>
      <c r="BI19" s="69" t="str">
        <f t="shared" si="1"/>
        <v>University of California</v>
      </c>
      <c r="BJ19" s="72">
        <f t="shared" si="18"/>
        <v>42</v>
      </c>
      <c r="BK19" s="72">
        <f t="shared" si="2"/>
        <v>-4</v>
      </c>
      <c r="BL19" s="72">
        <f t="shared" si="3"/>
        <v>18</v>
      </c>
      <c r="BM19" s="72">
        <f t="shared" si="4"/>
        <v>7</v>
      </c>
      <c r="BN19" s="72">
        <f t="shared" si="5"/>
        <v>40</v>
      </c>
      <c r="BO19" s="72">
        <f t="shared" si="6"/>
        <v>40</v>
      </c>
      <c r="BP19" s="72">
        <f t="shared" si="7"/>
        <v>7</v>
      </c>
      <c r="BQ19" s="72">
        <f t="shared" si="8"/>
        <v>40</v>
      </c>
      <c r="BR19" s="72">
        <f t="shared" si="9"/>
        <v>-6</v>
      </c>
      <c r="BS19" s="72">
        <f t="shared" si="10"/>
        <v>60</v>
      </c>
      <c r="BT19" s="72">
        <f>SUM(BJ19:BS19)+0.005</f>
        <v>244.005</v>
      </c>
      <c r="BU19" s="72">
        <f t="shared" si="11"/>
        <v>3</v>
      </c>
      <c r="BV19" s="72"/>
      <c r="BW19" s="72">
        <f t="shared" si="19"/>
        <v>4</v>
      </c>
      <c r="BX19" s="72">
        <f t="shared" si="20"/>
        <v>3</v>
      </c>
      <c r="BY19" s="72">
        <f t="shared" si="21"/>
        <v>1</v>
      </c>
      <c r="BZ19" s="72">
        <f t="shared" si="22"/>
        <v>2</v>
      </c>
      <c r="CA19" s="69"/>
      <c r="CB19" s="69" t="s">
        <v>43</v>
      </c>
      <c r="CC19" s="69" t="str">
        <f>INDEX($BI$12:$BS$23,MATCH(5,$BU$12:$BU$23,0),1)</f>
        <v>University of Oregon</v>
      </c>
      <c r="CD19" s="72">
        <f t="shared" si="12"/>
        <v>241.00399999999999</v>
      </c>
      <c r="CE19" s="72">
        <f t="shared" si="13"/>
        <v>4</v>
      </c>
      <c r="CF19" s="72">
        <f t="shared" si="14"/>
        <v>3</v>
      </c>
      <c r="CG19" s="72">
        <f t="shared" si="15"/>
        <v>1</v>
      </c>
      <c r="CH19" s="72">
        <f t="shared" si="16"/>
        <v>2</v>
      </c>
      <c r="CI19" s="69" t="s">
        <v>43</v>
      </c>
      <c r="CJ19" s="59">
        <f t="shared" si="17"/>
        <v>5</v>
      </c>
      <c r="CK19" s="69" t="str">
        <f>BQ11</f>
        <v>Prestige</v>
      </c>
      <c r="CL19" s="59" t="str">
        <f>IFERROR( VLOOKUP(L$12,$BE$12:$BF$14,1,FALSE),0)</f>
        <v>Important</v>
      </c>
      <c r="CM19" s="59" t="str">
        <f>VLOOKUP($CC23,$C$13:$N$24,10,FALSE)</f>
        <v>Good</v>
      </c>
      <c r="CN19" s="68">
        <f>VLOOKUP($CC$23,$BI$11:$BT$23,9,FALSE)+0.008</f>
        <v>28.007999999999999</v>
      </c>
      <c r="CO19" s="59">
        <v>8</v>
      </c>
      <c r="CP19" s="45"/>
    </row>
    <row r="20" spans="1:94" ht="15.6" customHeight="1" x14ac:dyDescent="0.3">
      <c r="B20" s="28"/>
      <c r="C20" s="110" t="s">
        <v>37</v>
      </c>
      <c r="D20" s="111"/>
      <c r="E20" s="101" t="s">
        <v>4</v>
      </c>
      <c r="F20" s="102" t="s">
        <v>6</v>
      </c>
      <c r="G20" s="102" t="s">
        <v>5</v>
      </c>
      <c r="H20" s="102" t="s">
        <v>4</v>
      </c>
      <c r="I20" s="102" t="s">
        <v>3</v>
      </c>
      <c r="J20" s="102" t="s">
        <v>3</v>
      </c>
      <c r="K20" s="102" t="s">
        <v>4</v>
      </c>
      <c r="L20" s="102" t="s">
        <v>3</v>
      </c>
      <c r="M20" s="102" t="s">
        <v>6</v>
      </c>
      <c r="N20" s="103" t="s">
        <v>3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16"/>
      <c r="BE20" s="69" t="s">
        <v>6</v>
      </c>
      <c r="BF20" s="72">
        <v>-1</v>
      </c>
      <c r="BG20" s="72"/>
      <c r="BH20" s="69" t="s">
        <v>43</v>
      </c>
      <c r="BI20" s="69" t="str">
        <f t="shared" si="1"/>
        <v>University of Oregon</v>
      </c>
      <c r="BJ20" s="72">
        <f t="shared" si="18"/>
        <v>60</v>
      </c>
      <c r="BK20" s="72">
        <f t="shared" si="2"/>
        <v>-4</v>
      </c>
      <c r="BL20" s="72">
        <f t="shared" si="3"/>
        <v>18</v>
      </c>
      <c r="BM20" s="72">
        <f t="shared" si="4"/>
        <v>10</v>
      </c>
      <c r="BN20" s="72">
        <f t="shared" si="5"/>
        <v>28</v>
      </c>
      <c r="BO20" s="72">
        <f t="shared" si="6"/>
        <v>28</v>
      </c>
      <c r="BP20" s="72">
        <f t="shared" si="7"/>
        <v>7</v>
      </c>
      <c r="BQ20" s="72">
        <f t="shared" si="8"/>
        <v>40</v>
      </c>
      <c r="BR20" s="72">
        <f t="shared" si="9"/>
        <v>-6</v>
      </c>
      <c r="BS20" s="72">
        <f t="shared" si="10"/>
        <v>60</v>
      </c>
      <c r="BT20" s="72">
        <f>SUM(BJ20:BS20)+0.004</f>
        <v>241.00399999999999</v>
      </c>
      <c r="BU20" s="72">
        <f t="shared" si="11"/>
        <v>5</v>
      </c>
      <c r="BV20" s="72"/>
      <c r="BW20" s="72">
        <f t="shared" si="19"/>
        <v>4</v>
      </c>
      <c r="BX20" s="72">
        <f t="shared" si="20"/>
        <v>3</v>
      </c>
      <c r="BY20" s="72">
        <f t="shared" si="21"/>
        <v>1</v>
      </c>
      <c r="BZ20" s="72">
        <f t="shared" si="22"/>
        <v>2</v>
      </c>
      <c r="CA20" s="69"/>
      <c r="CB20" s="69" t="s">
        <v>43</v>
      </c>
      <c r="CC20" s="69" t="str">
        <f>INDEX($BI$12:$BS$23,MATCH(4,$BU$12:$BU$23,0),1)</f>
        <v>St. Johns University</v>
      </c>
      <c r="CD20" s="72">
        <f t="shared" si="12"/>
        <v>243.00700000000001</v>
      </c>
      <c r="CE20" s="72">
        <f t="shared" si="13"/>
        <v>5</v>
      </c>
      <c r="CF20" s="72">
        <f t="shared" si="14"/>
        <v>1</v>
      </c>
      <c r="CG20" s="72">
        <f t="shared" si="15"/>
        <v>0</v>
      </c>
      <c r="CH20" s="72">
        <f t="shared" si="16"/>
        <v>4</v>
      </c>
      <c r="CI20" s="69" t="s">
        <v>43</v>
      </c>
      <c r="CJ20" s="59">
        <f t="shared" si="17"/>
        <v>6</v>
      </c>
      <c r="CK20" s="69" t="str">
        <f>BR11</f>
        <v>Social</v>
      </c>
      <c r="CL20" s="59" t="str">
        <f>IFERROR( VLOOKUP(M$12,$BE$12:$BF$14,1,FALSE),0)</f>
        <v>Essential</v>
      </c>
      <c r="CM20" s="59" t="str">
        <f>VLOOKUP($CC23,$C$13:$N$24,11,FALSE)</f>
        <v>Fair</v>
      </c>
      <c r="CN20" s="68">
        <f>VLOOKUP($CC$23,$BI$11:$BT$23,10,FALSE)+0.009</f>
        <v>18.009</v>
      </c>
      <c r="CO20" s="59">
        <v>9</v>
      </c>
      <c r="CP20" s="45"/>
    </row>
    <row r="21" spans="1:94" ht="15.6" customHeight="1" x14ac:dyDescent="0.3">
      <c r="A21" s="16"/>
      <c r="B21" s="28"/>
      <c r="C21" s="110" t="s">
        <v>38</v>
      </c>
      <c r="D21" s="111"/>
      <c r="E21" s="101" t="s">
        <v>3</v>
      </c>
      <c r="F21" s="102" t="s">
        <v>6</v>
      </c>
      <c r="G21" s="102" t="s">
        <v>5</v>
      </c>
      <c r="H21" s="102" t="s">
        <v>3</v>
      </c>
      <c r="I21" s="102" t="s">
        <v>4</v>
      </c>
      <c r="J21" s="102" t="s">
        <v>4</v>
      </c>
      <c r="K21" s="102" t="s">
        <v>4</v>
      </c>
      <c r="L21" s="102" t="s">
        <v>3</v>
      </c>
      <c r="M21" s="102" t="s">
        <v>6</v>
      </c>
      <c r="N21" s="103" t="s">
        <v>3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16"/>
      <c r="BH21" s="69" t="s">
        <v>43</v>
      </c>
      <c r="BI21" s="69" t="str">
        <f t="shared" si="1"/>
        <v>Santa Monica College</v>
      </c>
      <c r="BJ21" s="72">
        <f t="shared" si="18"/>
        <v>-6</v>
      </c>
      <c r="BK21" s="72">
        <f t="shared" si="2"/>
        <v>28</v>
      </c>
      <c r="BL21" s="72">
        <f t="shared" si="3"/>
        <v>42</v>
      </c>
      <c r="BM21" s="72">
        <f t="shared" si="4"/>
        <v>3</v>
      </c>
      <c r="BN21" s="72">
        <f t="shared" si="5"/>
        <v>-4</v>
      </c>
      <c r="BO21" s="72">
        <f t="shared" si="6"/>
        <v>12</v>
      </c>
      <c r="BP21" s="72">
        <f t="shared" si="7"/>
        <v>10</v>
      </c>
      <c r="BQ21" s="72">
        <f t="shared" si="8"/>
        <v>28</v>
      </c>
      <c r="BR21" s="72">
        <f t="shared" si="9"/>
        <v>42</v>
      </c>
      <c r="BS21" s="72">
        <f t="shared" si="10"/>
        <v>-6</v>
      </c>
      <c r="BT21" s="72">
        <f>SUM(BJ21:BS21)+0.003</f>
        <v>149.00299999999999</v>
      </c>
      <c r="BU21" s="72">
        <f t="shared" si="11"/>
        <v>10</v>
      </c>
      <c r="BV21" s="72"/>
      <c r="BW21" s="72">
        <f t="shared" si="19"/>
        <v>1</v>
      </c>
      <c r="BX21" s="72">
        <f t="shared" si="20"/>
        <v>4</v>
      </c>
      <c r="BY21" s="72">
        <f t="shared" si="21"/>
        <v>2</v>
      </c>
      <c r="BZ21" s="72">
        <f t="shared" si="22"/>
        <v>3</v>
      </c>
      <c r="CA21" s="69"/>
      <c r="CB21" s="69" t="s">
        <v>43</v>
      </c>
      <c r="CC21" s="69" t="str">
        <f>INDEX($BI$12:$BS$23,MATCH(3,$BU$12:$BU$23,0),1)</f>
        <v>University of California</v>
      </c>
      <c r="CD21" s="72">
        <f t="shared" si="12"/>
        <v>244.005</v>
      </c>
      <c r="CE21" s="72">
        <f t="shared" si="13"/>
        <v>4</v>
      </c>
      <c r="CF21" s="72">
        <f t="shared" si="14"/>
        <v>3</v>
      </c>
      <c r="CG21" s="72">
        <f t="shared" si="15"/>
        <v>1</v>
      </c>
      <c r="CH21" s="72">
        <f t="shared" si="16"/>
        <v>2</v>
      </c>
      <c r="CI21" s="69" t="s">
        <v>43</v>
      </c>
      <c r="CJ21" s="59">
        <f t="shared" si="17"/>
        <v>3</v>
      </c>
      <c r="CK21" s="69" t="str">
        <f>BS11</f>
        <v>Academics</v>
      </c>
      <c r="CL21" s="59" t="str">
        <f>IFERROR( VLOOKUP(N$12,$BE$12:$BF$14,1,FALSE),0)</f>
        <v>Essential</v>
      </c>
      <c r="CM21" s="59" t="str">
        <f>VLOOKUP($CC23,$C$13:$N$24,12,FALSE)</f>
        <v>Good</v>
      </c>
      <c r="CN21" s="68">
        <f>VLOOKUP($CC$23,$BI$11:$BT$23,11,FALSE)+0.0011</f>
        <v>42.001100000000001</v>
      </c>
      <c r="CO21" s="59">
        <v>10</v>
      </c>
      <c r="CP21" s="45"/>
    </row>
    <row r="22" spans="1:94" ht="15.6" customHeight="1" x14ac:dyDescent="0.3">
      <c r="A22" s="7"/>
      <c r="B22" s="28"/>
      <c r="C22" s="110" t="s">
        <v>39</v>
      </c>
      <c r="D22" s="111"/>
      <c r="E22" s="101" t="s">
        <v>6</v>
      </c>
      <c r="F22" s="102" t="s">
        <v>4</v>
      </c>
      <c r="G22" s="102" t="s">
        <v>4</v>
      </c>
      <c r="H22" s="102" t="s">
        <v>5</v>
      </c>
      <c r="I22" s="102" t="s">
        <v>6</v>
      </c>
      <c r="J22" s="102" t="s">
        <v>5</v>
      </c>
      <c r="K22" s="102" t="s">
        <v>3</v>
      </c>
      <c r="L22" s="102" t="s">
        <v>4</v>
      </c>
      <c r="M22" s="102" t="s">
        <v>4</v>
      </c>
      <c r="N22" s="103" t="s">
        <v>6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E22" s="66"/>
      <c r="BH22" s="69" t="s">
        <v>43</v>
      </c>
      <c r="BI22" s="69" t="str">
        <f t="shared" si="1"/>
        <v>UMass</v>
      </c>
      <c r="BJ22" s="72">
        <f t="shared" si="18"/>
        <v>60</v>
      </c>
      <c r="BK22" s="72">
        <f t="shared" si="2"/>
        <v>-4</v>
      </c>
      <c r="BL22" s="72">
        <f t="shared" si="3"/>
        <v>60</v>
      </c>
      <c r="BM22" s="72">
        <f t="shared" si="4"/>
        <v>7</v>
      </c>
      <c r="BN22" s="72">
        <f t="shared" si="5"/>
        <v>40</v>
      </c>
      <c r="BO22" s="72">
        <f t="shared" si="6"/>
        <v>12</v>
      </c>
      <c r="BP22" s="72">
        <f t="shared" si="7"/>
        <v>-1</v>
      </c>
      <c r="BQ22" s="72">
        <f t="shared" si="8"/>
        <v>28</v>
      </c>
      <c r="BR22" s="72">
        <f t="shared" si="9"/>
        <v>18</v>
      </c>
      <c r="BS22" s="72">
        <f t="shared" si="10"/>
        <v>42</v>
      </c>
      <c r="BT22" s="72">
        <f>SUM(BJ22:BS22)+0.002</f>
        <v>262.00200000000001</v>
      </c>
      <c r="BU22" s="72">
        <f t="shared" si="11"/>
        <v>1</v>
      </c>
      <c r="BV22" s="72"/>
      <c r="BW22" s="72">
        <f t="shared" si="19"/>
        <v>3</v>
      </c>
      <c r="BX22" s="72">
        <f t="shared" si="20"/>
        <v>3</v>
      </c>
      <c r="BY22" s="72">
        <f t="shared" si="21"/>
        <v>2</v>
      </c>
      <c r="BZ22" s="72">
        <f t="shared" si="22"/>
        <v>2</v>
      </c>
      <c r="CA22" s="69"/>
      <c r="CB22" s="69" t="s">
        <v>43</v>
      </c>
      <c r="CC22" s="69" t="str">
        <f>INDEX($BI$12:$BS$23,MATCH(2,$BU$12:$BU$23,0),1)</f>
        <v>UCLA</v>
      </c>
      <c r="CD22" s="72">
        <f t="shared" si="12"/>
        <v>244.006</v>
      </c>
      <c r="CE22" s="72">
        <f t="shared" si="13"/>
        <v>3</v>
      </c>
      <c r="CF22" s="72">
        <f t="shared" si="14"/>
        <v>1</v>
      </c>
      <c r="CG22" s="72">
        <f t="shared" si="15"/>
        <v>5</v>
      </c>
      <c r="CH22" s="72">
        <f t="shared" si="16"/>
        <v>1</v>
      </c>
      <c r="CI22" s="69" t="s">
        <v>43</v>
      </c>
      <c r="CJ22" s="59"/>
      <c r="CK22" s="59"/>
      <c r="CL22" s="59"/>
      <c r="CM22" s="59"/>
      <c r="CN22" s="59"/>
      <c r="CO22" s="59"/>
      <c r="CP22" s="45"/>
    </row>
    <row r="23" spans="1:94" ht="15.6" customHeight="1" x14ac:dyDescent="0.3">
      <c r="A23" s="7"/>
      <c r="B23" s="28"/>
      <c r="C23" s="110" t="s">
        <v>40</v>
      </c>
      <c r="D23" s="111"/>
      <c r="E23" s="101" t="s">
        <v>3</v>
      </c>
      <c r="F23" s="102" t="s">
        <v>6</v>
      </c>
      <c r="G23" s="102" t="s">
        <v>3</v>
      </c>
      <c r="H23" s="102" t="s">
        <v>4</v>
      </c>
      <c r="I23" s="102" t="s">
        <v>3</v>
      </c>
      <c r="J23" s="102" t="s">
        <v>5</v>
      </c>
      <c r="K23" s="102" t="s">
        <v>6</v>
      </c>
      <c r="L23" s="102" t="s">
        <v>4</v>
      </c>
      <c r="M23" s="102" t="s">
        <v>5</v>
      </c>
      <c r="N23" s="103" t="s">
        <v>4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H23" s="69" t="s">
        <v>43</v>
      </c>
      <c r="BI23" s="69" t="str">
        <f t="shared" si="1"/>
        <v>University of Utah</v>
      </c>
      <c r="BJ23" s="72">
        <f t="shared" si="18"/>
        <v>18</v>
      </c>
      <c r="BK23" s="72">
        <f t="shared" si="2"/>
        <v>28</v>
      </c>
      <c r="BL23" s="72">
        <f t="shared" si="3"/>
        <v>60</v>
      </c>
      <c r="BM23" s="72">
        <f t="shared" si="4"/>
        <v>-1</v>
      </c>
      <c r="BN23" s="72">
        <f t="shared" si="5"/>
        <v>-4</v>
      </c>
      <c r="BO23" s="72">
        <f t="shared" si="6"/>
        <v>12</v>
      </c>
      <c r="BP23" s="72">
        <f t="shared" si="7"/>
        <v>-1</v>
      </c>
      <c r="BQ23" s="72">
        <f t="shared" si="8"/>
        <v>-4</v>
      </c>
      <c r="BR23" s="72">
        <f t="shared" si="9"/>
        <v>18</v>
      </c>
      <c r="BS23" s="72">
        <f t="shared" si="10"/>
        <v>42</v>
      </c>
      <c r="BT23" s="72">
        <f>SUM(BJ23:BS23)+0.001</f>
        <v>168.001</v>
      </c>
      <c r="BU23" s="72">
        <f t="shared" si="11"/>
        <v>8</v>
      </c>
      <c r="BV23" s="72"/>
      <c r="BW23" s="72">
        <f t="shared" si="19"/>
        <v>1</v>
      </c>
      <c r="BX23" s="72">
        <f t="shared" si="20"/>
        <v>2</v>
      </c>
      <c r="BY23" s="72">
        <f t="shared" si="21"/>
        <v>3</v>
      </c>
      <c r="BZ23" s="72">
        <f t="shared" si="22"/>
        <v>4</v>
      </c>
      <c r="CA23" s="69"/>
      <c r="CB23" s="69" t="s">
        <v>43</v>
      </c>
      <c r="CC23" s="69" t="str">
        <f>INDEX($BI$12:$BS$23,MATCH(1,$BU$12:$BU$23,0),1)</f>
        <v>UMass</v>
      </c>
      <c r="CD23" s="72">
        <f t="shared" si="12"/>
        <v>262.00200000000001</v>
      </c>
      <c r="CE23" s="72">
        <f t="shared" si="13"/>
        <v>3</v>
      </c>
      <c r="CF23" s="72">
        <f t="shared" si="14"/>
        <v>3</v>
      </c>
      <c r="CG23" s="72">
        <f t="shared" si="15"/>
        <v>2</v>
      </c>
      <c r="CH23" s="72">
        <f t="shared" si="16"/>
        <v>2</v>
      </c>
      <c r="CI23" s="69" t="s">
        <v>43</v>
      </c>
      <c r="CJ23" s="59"/>
      <c r="CK23" s="59"/>
      <c r="CL23" s="59"/>
      <c r="CM23" s="59"/>
      <c r="CN23" s="59"/>
      <c r="CO23" s="59"/>
      <c r="CP23" s="45"/>
    </row>
    <row r="24" spans="1:94" ht="15.6" customHeight="1" x14ac:dyDescent="0.3">
      <c r="A24" s="7"/>
      <c r="B24" s="28"/>
      <c r="C24" s="116" t="s">
        <v>41</v>
      </c>
      <c r="D24" s="117"/>
      <c r="E24" s="104" t="s">
        <v>5</v>
      </c>
      <c r="F24" s="105" t="s">
        <v>4</v>
      </c>
      <c r="G24" s="105" t="s">
        <v>3</v>
      </c>
      <c r="H24" s="105" t="s">
        <v>6</v>
      </c>
      <c r="I24" s="105" t="s">
        <v>6</v>
      </c>
      <c r="J24" s="105" t="s">
        <v>5</v>
      </c>
      <c r="K24" s="105" t="s">
        <v>6</v>
      </c>
      <c r="L24" s="105" t="s">
        <v>6</v>
      </c>
      <c r="M24" s="105" t="s">
        <v>5</v>
      </c>
      <c r="N24" s="106" t="s">
        <v>4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42"/>
      <c r="BH24" s="69"/>
      <c r="CB24" s="69" t="s">
        <v>43</v>
      </c>
      <c r="CC24" s="75" t="s">
        <v>44</v>
      </c>
      <c r="CD24" s="76"/>
      <c r="CE24" s="72">
        <v>2.5</v>
      </c>
      <c r="CF24" s="72">
        <v>2.5</v>
      </c>
      <c r="CG24" s="72">
        <v>2.5</v>
      </c>
      <c r="CH24" s="72">
        <v>2.5</v>
      </c>
      <c r="CI24" s="69" t="s">
        <v>43</v>
      </c>
    </row>
    <row r="25" spans="1:94" ht="14.4" customHeight="1" x14ac:dyDescent="0.3">
      <c r="A25" s="7"/>
      <c r="B25" s="7"/>
      <c r="E25" s="27"/>
      <c r="F25" s="7"/>
      <c r="G25" s="7"/>
      <c r="H25" s="31"/>
      <c r="I25" s="32"/>
      <c r="J25" s="7"/>
      <c r="K25" s="7"/>
      <c r="L25" s="7"/>
      <c r="M25" s="7"/>
      <c r="N25" s="7"/>
      <c r="CC25" s="61"/>
      <c r="CE25" s="77"/>
      <c r="CF25" s="77"/>
      <c r="CG25" s="77"/>
      <c r="CH25" s="77"/>
    </row>
    <row r="26" spans="1:94" ht="11.4" customHeight="1" x14ac:dyDescent="0.3">
      <c r="A26" s="7"/>
      <c r="B26" s="7"/>
      <c r="C26" s="22"/>
      <c r="D26" s="22"/>
      <c r="E26" s="23"/>
      <c r="F26" s="22"/>
      <c r="G26" s="22"/>
      <c r="H26" s="32"/>
      <c r="I26" s="32"/>
      <c r="J26" s="22"/>
      <c r="K26" s="22"/>
      <c r="L26" s="22"/>
      <c r="M26" s="22"/>
      <c r="N26" s="22"/>
    </row>
    <row r="27" spans="1:94" ht="14.4" customHeight="1" x14ac:dyDescent="0.3">
      <c r="A27" s="7"/>
      <c r="B27" s="7"/>
      <c r="C27" s="7"/>
      <c r="D27" s="19"/>
      <c r="E27" s="19"/>
      <c r="F27" s="19"/>
      <c r="G27" s="7"/>
      <c r="H27" s="108"/>
      <c r="I27" s="108"/>
      <c r="J27" s="19"/>
      <c r="K27" s="19"/>
      <c r="L27" s="19"/>
      <c r="M27" s="19"/>
      <c r="N27" s="19"/>
    </row>
    <row r="28" spans="1:94" ht="14.4" customHeight="1" x14ac:dyDescent="0.3">
      <c r="A28" s="7"/>
      <c r="B28" s="7"/>
      <c r="C28" s="7"/>
      <c r="D28" s="18"/>
      <c r="E28" s="18"/>
      <c r="F28" s="18"/>
      <c r="G28" s="7"/>
      <c r="H28" s="32"/>
      <c r="I28" s="32"/>
      <c r="J28" s="18"/>
      <c r="K28" s="18"/>
      <c r="L28" s="18"/>
      <c r="M28" s="18"/>
      <c r="N28" s="18"/>
      <c r="BJ28" s="69"/>
      <c r="BK28" s="69"/>
      <c r="BL28" s="69"/>
      <c r="CD28" s="72"/>
      <c r="CE28" s="72"/>
      <c r="CF28" s="72"/>
      <c r="CG28" s="72"/>
      <c r="CH28" s="72"/>
    </row>
    <row r="29" spans="1:94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BI29" s="69"/>
      <c r="BM29" s="78"/>
    </row>
    <row r="30" spans="1:94" x14ac:dyDescent="0.3">
      <c r="A30" s="7"/>
      <c r="B30" s="7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BI30" s="69"/>
      <c r="BM30" s="78"/>
    </row>
    <row r="31" spans="1:94" x14ac:dyDescent="0.3">
      <c r="A31" s="7"/>
      <c r="B31" s="7"/>
      <c r="BI31" s="69"/>
      <c r="BM31" s="78"/>
    </row>
    <row r="32" spans="1:94" x14ac:dyDescent="0.3">
      <c r="A32" s="7"/>
      <c r="B32" s="7"/>
      <c r="BI32" s="69"/>
      <c r="BM32" s="78"/>
    </row>
    <row r="33" spans="1:64" x14ac:dyDescent="0.3">
      <c r="A33" s="7"/>
      <c r="B33" s="7"/>
      <c r="BJ33" s="78"/>
      <c r="BK33" s="78"/>
      <c r="BL33" s="78"/>
    </row>
    <row r="34" spans="1:64" x14ac:dyDescent="0.3">
      <c r="A34" s="7"/>
      <c r="B34" s="7"/>
    </row>
    <row r="35" spans="1:64" x14ac:dyDescent="0.3">
      <c r="A35" s="7"/>
      <c r="B35" s="7"/>
    </row>
    <row r="36" spans="1:64" x14ac:dyDescent="0.3">
      <c r="A36" s="7"/>
      <c r="B36" s="7"/>
    </row>
    <row r="37" spans="1:64" x14ac:dyDescent="0.3">
      <c r="A37" s="7"/>
      <c r="B37" s="7"/>
    </row>
    <row r="38" spans="1:64" x14ac:dyDescent="0.3">
      <c r="A38" s="7"/>
      <c r="B38" s="7"/>
    </row>
    <row r="39" spans="1:64" x14ac:dyDescent="0.3">
      <c r="A39" s="7"/>
      <c r="B39" s="7"/>
    </row>
    <row r="40" spans="1:64" x14ac:dyDescent="0.3">
      <c r="A40" s="7"/>
      <c r="B40" s="7"/>
    </row>
    <row r="41" spans="1:64" x14ac:dyDescent="0.3">
      <c r="A41" s="7"/>
      <c r="B41" s="7"/>
    </row>
    <row r="42" spans="1:64" x14ac:dyDescent="0.3">
      <c r="A42" s="7"/>
      <c r="B42" s="7"/>
    </row>
    <row r="43" spans="1:64" x14ac:dyDescent="0.3">
      <c r="A43" s="7"/>
      <c r="B43" s="7"/>
    </row>
    <row r="44" spans="1:64" x14ac:dyDescent="0.3">
      <c r="A44" s="7"/>
      <c r="B44" s="7"/>
    </row>
    <row r="45" spans="1:64" x14ac:dyDescent="0.3">
      <c r="A45" s="7"/>
      <c r="B45" s="7"/>
    </row>
    <row r="46" spans="1:64" x14ac:dyDescent="0.3">
      <c r="A46" s="7"/>
      <c r="B46" s="7"/>
    </row>
    <row r="47" spans="1:64" x14ac:dyDescent="0.3">
      <c r="A47" s="7"/>
      <c r="B47" s="7"/>
    </row>
    <row r="48" spans="1:64" x14ac:dyDescent="0.3">
      <c r="A48" s="16"/>
      <c r="B48" s="16"/>
      <c r="E48" s="16"/>
    </row>
    <row r="49" spans="1:64" x14ac:dyDescent="0.3">
      <c r="A49" s="16"/>
      <c r="B49" s="16"/>
      <c r="E49" s="16"/>
    </row>
    <row r="50" spans="1:64" x14ac:dyDescent="0.3">
      <c r="A50" s="16"/>
      <c r="B50" s="16"/>
      <c r="E50" s="16"/>
    </row>
    <row r="51" spans="1:64" x14ac:dyDescent="0.3">
      <c r="A51" s="16"/>
      <c r="B51" s="16"/>
      <c r="E51" s="16"/>
    </row>
    <row r="52" spans="1:64" x14ac:dyDescent="0.3">
      <c r="A52" s="16"/>
      <c r="B52" s="16"/>
      <c r="E52" s="16"/>
    </row>
    <row r="53" spans="1:64" x14ac:dyDescent="0.3">
      <c r="A53" s="16"/>
      <c r="B53" s="16"/>
      <c r="E53" s="16"/>
    </row>
    <row r="54" spans="1:64" x14ac:dyDescent="0.3">
      <c r="C54" s="19"/>
      <c r="D54" s="19"/>
      <c r="E54" s="7"/>
      <c r="F54" s="7"/>
      <c r="G54" s="7"/>
      <c r="H54" s="7"/>
      <c r="I54" s="7"/>
      <c r="J54" s="7"/>
      <c r="K54" s="7"/>
      <c r="L54" s="7"/>
      <c r="M54" s="7"/>
      <c r="N54" s="7"/>
      <c r="BD54" s="44"/>
    </row>
    <row r="55" spans="1:64" x14ac:dyDescent="0.3">
      <c r="C55" s="19"/>
      <c r="D55" s="19"/>
      <c r="E55" s="7"/>
      <c r="F55" s="7"/>
      <c r="G55" s="7"/>
      <c r="H55" s="7"/>
      <c r="I55" s="7"/>
      <c r="J55" s="7"/>
      <c r="K55" s="7"/>
      <c r="L55" s="7"/>
      <c r="M55" s="7"/>
      <c r="N55" s="7"/>
      <c r="BD55" s="44"/>
    </row>
    <row r="56" spans="1:64" x14ac:dyDescent="0.3">
      <c r="A56" s="16"/>
      <c r="B56" s="16"/>
      <c r="E56" s="16"/>
    </row>
    <row r="57" spans="1:64" ht="14.4" customHeight="1" x14ac:dyDescent="0.3">
      <c r="H57" s="31"/>
      <c r="I57" s="32"/>
    </row>
    <row r="58" spans="1:64" ht="14.4" customHeight="1" x14ac:dyDescent="0.3">
      <c r="H58" s="32"/>
      <c r="I58" s="32"/>
    </row>
    <row r="59" spans="1:64" x14ac:dyDescent="0.3">
      <c r="A59" s="16"/>
      <c r="B59" s="16"/>
      <c r="E59" s="12"/>
      <c r="BL59" s="79"/>
    </row>
    <row r="62" spans="1:64" x14ac:dyDescent="0.3">
      <c r="A62" s="7"/>
      <c r="B62" s="7"/>
      <c r="E62" s="27"/>
      <c r="F62" s="7"/>
      <c r="G62" s="7"/>
      <c r="H62" s="108"/>
      <c r="I62" s="108"/>
      <c r="J62" s="7"/>
      <c r="K62" s="7"/>
      <c r="L62" s="7"/>
      <c r="M62" s="7"/>
      <c r="N62" s="7"/>
    </row>
    <row r="63" spans="1:64" x14ac:dyDescent="0.3">
      <c r="A63" s="7"/>
      <c r="B63" s="7"/>
      <c r="C63" s="22"/>
      <c r="D63" s="22"/>
      <c r="E63" s="23"/>
      <c r="F63" s="22"/>
      <c r="G63" s="22"/>
      <c r="H63" s="108"/>
      <c r="I63" s="108"/>
      <c r="J63" s="22"/>
      <c r="K63" s="22"/>
      <c r="L63" s="22"/>
      <c r="M63" s="22"/>
      <c r="N63" s="22"/>
    </row>
    <row r="64" spans="1:64" x14ac:dyDescent="0.3">
      <c r="A64" s="16"/>
      <c r="B64" s="16"/>
      <c r="E64" s="12"/>
    </row>
    <row r="65" spans="1:14" x14ac:dyDescent="0.3">
      <c r="A65" s="16"/>
      <c r="B65" s="16"/>
      <c r="E65" s="12"/>
    </row>
    <row r="68" spans="1:14" x14ac:dyDescent="0.3">
      <c r="A68" s="16"/>
      <c r="B68" s="16"/>
      <c r="E68" s="13"/>
    </row>
    <row r="69" spans="1:14" x14ac:dyDescent="0.3">
      <c r="A69" s="16"/>
      <c r="B69" s="16"/>
    </row>
    <row r="70" spans="1:14" x14ac:dyDescent="0.3">
      <c r="A70" s="16"/>
      <c r="B70" s="16"/>
    </row>
    <row r="71" spans="1:14" x14ac:dyDescent="0.3">
      <c r="A71" s="16"/>
      <c r="B71" s="16"/>
    </row>
    <row r="72" spans="1:14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93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93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93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93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93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93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93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93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93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93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93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93" ht="31.2" x14ac:dyDescent="0.6">
      <c r="A92" s="16"/>
      <c r="B92" s="16"/>
      <c r="C92" s="16"/>
      <c r="D92" s="16"/>
      <c r="E92" s="16"/>
      <c r="F92" s="16"/>
      <c r="G92" s="16"/>
      <c r="H92" s="16"/>
      <c r="I92" s="46" t="s">
        <v>48</v>
      </c>
      <c r="J92" s="16"/>
      <c r="K92" s="16"/>
      <c r="L92" s="16"/>
      <c r="M92" s="16"/>
      <c r="N92" s="16"/>
    </row>
    <row r="93" spans="1:93" ht="15.6" x14ac:dyDescent="0.3">
      <c r="A93" s="16"/>
      <c r="B93" s="16"/>
      <c r="C93" s="16"/>
      <c r="D93" s="16"/>
      <c r="E93" s="16"/>
      <c r="F93" s="16"/>
      <c r="G93" s="16"/>
      <c r="H93" s="16"/>
      <c r="I93" s="91" t="s">
        <v>51</v>
      </c>
      <c r="J93" s="16"/>
      <c r="K93" s="16"/>
      <c r="L93" s="16"/>
      <c r="M93" s="16"/>
      <c r="N93" s="16"/>
    </row>
    <row r="94" spans="1:93" x14ac:dyDescent="0.3"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14"/>
      <c r="BE94" s="80"/>
      <c r="BF94" s="81"/>
      <c r="BG94" s="81"/>
      <c r="BH94" s="48"/>
      <c r="BI94" s="48"/>
      <c r="BJ94" s="48"/>
      <c r="BK94" s="48"/>
      <c r="BL94" s="48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0"/>
      <c r="CB94" s="80"/>
      <c r="CC94" s="80"/>
      <c r="CD94" s="81"/>
      <c r="CE94" s="81"/>
      <c r="CF94" s="81"/>
      <c r="CG94" s="81"/>
      <c r="CH94" s="81"/>
      <c r="CI94" s="80"/>
    </row>
    <row r="95" spans="1:93" s="9" customFormat="1" ht="15.6" x14ac:dyDescent="0.3">
      <c r="A95" s="8"/>
      <c r="B95" s="94" t="s">
        <v>50</v>
      </c>
      <c r="C95" s="8"/>
      <c r="D95" s="92"/>
      <c r="F95" s="89"/>
      <c r="G95" s="53" t="s">
        <v>49</v>
      </c>
      <c r="I95" s="90"/>
      <c r="J95" s="89"/>
      <c r="K95" s="52" t="str">
        <f>"Scoring Breakdown - "&amp;B98</f>
        <v>Scoring Breakdown - UMass</v>
      </c>
      <c r="L95" s="89"/>
      <c r="M95" s="89"/>
      <c r="N95" s="89"/>
      <c r="BD95" s="30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3"/>
      <c r="BR95" s="83"/>
      <c r="BS95" s="83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82"/>
      <c r="CE95" s="82"/>
      <c r="CF95" s="82"/>
      <c r="CG95" s="82"/>
      <c r="CH95" s="82"/>
      <c r="CI95" s="83"/>
      <c r="CJ95" s="10"/>
      <c r="CK95" s="10"/>
      <c r="CL95" s="10"/>
      <c r="CM95" s="10"/>
      <c r="CN95" s="10"/>
      <c r="CO95" s="10"/>
    </row>
    <row r="96" spans="1:93" ht="14.4" customHeight="1" x14ac:dyDescent="0.3">
      <c r="B96" s="7"/>
      <c r="C96" s="7"/>
      <c r="D96" s="51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47"/>
      <c r="BE96" s="80"/>
      <c r="BF96" s="80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0"/>
      <c r="BR96" s="80"/>
      <c r="BS96" s="80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81"/>
      <c r="CE96" s="81"/>
      <c r="CF96" s="81"/>
      <c r="CG96" s="81"/>
      <c r="CH96" s="81"/>
      <c r="CI96" s="80"/>
    </row>
    <row r="97" spans="2:87" x14ac:dyDescent="0.3">
      <c r="D97" s="93" t="s">
        <v>11</v>
      </c>
      <c r="E97" s="7"/>
      <c r="F97" s="7"/>
      <c r="G97" s="7"/>
      <c r="H97" s="7"/>
      <c r="I97" s="7"/>
      <c r="J97" s="7"/>
      <c r="K97" s="49" t="s">
        <v>46</v>
      </c>
      <c r="L97" s="86" t="s">
        <v>42</v>
      </c>
      <c r="M97" s="86" t="s">
        <v>47</v>
      </c>
      <c r="N97" s="86" t="s">
        <v>1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E97" s="81"/>
      <c r="BF97" s="81"/>
      <c r="BG97" s="81"/>
      <c r="BH97" s="48"/>
      <c r="BI97" s="81"/>
      <c r="BJ97" s="81"/>
      <c r="BK97" s="81"/>
      <c r="BL97" s="81"/>
      <c r="BM97" s="81"/>
      <c r="BN97" s="81"/>
      <c r="BO97" s="81"/>
      <c r="BP97" s="81"/>
      <c r="BQ97" s="80"/>
      <c r="BR97" s="80"/>
      <c r="BS97" s="80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81"/>
      <c r="CE97" s="81"/>
      <c r="CF97" s="81"/>
      <c r="CG97" s="81"/>
      <c r="CH97" s="81"/>
      <c r="CI97" s="80"/>
    </row>
    <row r="98" spans="2:87" ht="18" customHeight="1" x14ac:dyDescent="0.3">
      <c r="B98" s="109" t="str">
        <f>CC23</f>
        <v>UMass</v>
      </c>
      <c r="C98" s="109"/>
      <c r="D98" s="109"/>
      <c r="E98" s="16"/>
      <c r="F98" s="16"/>
      <c r="G98" s="7"/>
      <c r="H98" s="7"/>
      <c r="I98" s="7"/>
      <c r="J98" s="7"/>
      <c r="K98" s="50" t="str">
        <f t="shared" ref="K98:K107" si="23">VLOOKUP($CO12,$CJ$12:$CN$21,2,FALSE)</f>
        <v>Recruiting</v>
      </c>
      <c r="L98" s="87" t="str">
        <f t="shared" ref="L98:L107" si="24">VLOOKUP($CO12,$CJ$12:$CN$21,3,FALSE)</f>
        <v>Essential</v>
      </c>
      <c r="M98" s="87" t="str">
        <f t="shared" ref="M98:M107" si="25">VLOOKUP($CO12,$CJ$12:$CN$21,4,FALSE)</f>
        <v>Excellent</v>
      </c>
      <c r="N98" s="88">
        <f t="shared" ref="N98:N107" si="26">VLOOKUP($CO12,$CJ$12:$CN$21,5,FALSE)</f>
        <v>60.003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E98" s="48"/>
      <c r="BF98" s="48"/>
      <c r="BG98" s="48"/>
      <c r="BH98" s="48"/>
      <c r="BI98" s="81"/>
      <c r="BJ98" s="81"/>
      <c r="BK98" s="81"/>
      <c r="BL98" s="81"/>
      <c r="BM98" s="81"/>
      <c r="BN98" s="81"/>
      <c r="BO98" s="81"/>
      <c r="BP98" s="81"/>
      <c r="BQ98" s="80"/>
      <c r="BR98" s="80"/>
      <c r="BS98" s="80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81"/>
      <c r="CE98" s="81"/>
      <c r="CF98" s="81"/>
      <c r="CG98" s="81"/>
      <c r="CH98" s="81"/>
      <c r="CI98" s="80"/>
    </row>
    <row r="99" spans="2:87" ht="18" customHeight="1" x14ac:dyDescent="0.3">
      <c r="B99" s="107" t="str">
        <f>CC22</f>
        <v>UCLA</v>
      </c>
      <c r="C99" s="107"/>
      <c r="D99" s="107"/>
      <c r="E99" s="16"/>
      <c r="F99" s="16"/>
      <c r="G99" s="7"/>
      <c r="H99" s="7"/>
      <c r="I99" s="7"/>
      <c r="J99" s="7"/>
      <c r="K99" s="50" t="str">
        <f t="shared" si="23"/>
        <v>Campus</v>
      </c>
      <c r="L99" s="87" t="str">
        <f t="shared" si="24"/>
        <v>Essential</v>
      </c>
      <c r="M99" s="87" t="str">
        <f t="shared" si="25"/>
        <v>Excellent</v>
      </c>
      <c r="N99" s="88">
        <f t="shared" si="26"/>
        <v>60.000999999999998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E99" s="48"/>
      <c r="BF99" s="48"/>
      <c r="BG99" s="48"/>
      <c r="BH99" s="48"/>
      <c r="BI99" s="81"/>
      <c r="BJ99" s="81"/>
      <c r="BK99" s="81"/>
      <c r="BL99" s="81"/>
      <c r="BM99" s="81"/>
      <c r="BN99" s="81"/>
      <c r="BO99" s="81"/>
      <c r="BP99" s="81"/>
      <c r="BQ99" s="80"/>
      <c r="BR99" s="80"/>
      <c r="BS99" s="80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81"/>
      <c r="CE99" s="81"/>
      <c r="CF99" s="81"/>
      <c r="CG99" s="81"/>
      <c r="CH99" s="81"/>
      <c r="CI99" s="80"/>
    </row>
    <row r="100" spans="2:87" ht="18" customHeight="1" x14ac:dyDescent="0.3">
      <c r="B100" s="107" t="str">
        <f>CC21</f>
        <v>University of California</v>
      </c>
      <c r="C100" s="107"/>
      <c r="D100" s="107"/>
      <c r="E100" s="16"/>
      <c r="F100" s="16"/>
      <c r="G100" s="7"/>
      <c r="H100" s="7"/>
      <c r="I100" s="7"/>
      <c r="J100" s="7"/>
      <c r="K100" s="50" t="str">
        <f t="shared" si="23"/>
        <v>Academics</v>
      </c>
      <c r="L100" s="87" t="str">
        <f t="shared" si="24"/>
        <v>Essential</v>
      </c>
      <c r="M100" s="87" t="str">
        <f t="shared" si="25"/>
        <v>Good</v>
      </c>
      <c r="N100" s="88">
        <f t="shared" si="26"/>
        <v>42.001100000000001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E100" s="48"/>
      <c r="BF100" s="48"/>
      <c r="BG100" s="48"/>
      <c r="BH100" s="48"/>
      <c r="BI100" s="81"/>
      <c r="BJ100" s="81"/>
      <c r="BK100" s="81"/>
      <c r="BL100" s="81"/>
      <c r="BM100" s="81"/>
      <c r="BN100" s="81"/>
      <c r="BO100" s="81"/>
      <c r="BP100" s="81"/>
      <c r="BQ100" s="80"/>
      <c r="BR100" s="80"/>
      <c r="BS100" s="80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81"/>
      <c r="CE100" s="81"/>
      <c r="CF100" s="81"/>
      <c r="CG100" s="81"/>
      <c r="CH100" s="81"/>
      <c r="CI100" s="80"/>
    </row>
    <row r="101" spans="2:87" ht="18" customHeight="1" x14ac:dyDescent="0.3">
      <c r="B101" s="107" t="str">
        <f>CC20</f>
        <v>St. Johns University</v>
      </c>
      <c r="C101" s="107"/>
      <c r="D101" s="107"/>
      <c r="E101" s="16"/>
      <c r="F101" s="16"/>
      <c r="G101" s="7"/>
      <c r="H101" s="7"/>
      <c r="I101" s="7"/>
      <c r="J101" s="7"/>
      <c r="K101" s="50" t="str">
        <f t="shared" si="23"/>
        <v>Faculty</v>
      </c>
      <c r="L101" s="87" t="str">
        <f t="shared" si="24"/>
        <v>Important</v>
      </c>
      <c r="M101" s="87" t="str">
        <f t="shared" si="25"/>
        <v>Excellent</v>
      </c>
      <c r="N101" s="88">
        <f t="shared" si="26"/>
        <v>40.005000000000003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E101" s="48"/>
      <c r="BF101" s="48"/>
      <c r="BG101" s="48"/>
      <c r="BH101" s="48"/>
      <c r="BI101" s="81"/>
      <c r="BJ101" s="81"/>
      <c r="BK101" s="81"/>
      <c r="BL101" s="81"/>
      <c r="BM101" s="81"/>
      <c r="BN101" s="81"/>
      <c r="BO101" s="81"/>
      <c r="BP101" s="81"/>
      <c r="BQ101" s="80"/>
      <c r="BR101" s="80"/>
      <c r="BS101" s="80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81"/>
      <c r="CE101" s="81"/>
      <c r="CF101" s="81"/>
      <c r="CG101" s="81"/>
      <c r="CH101" s="81"/>
      <c r="CI101" s="80"/>
    </row>
    <row r="102" spans="2:87" ht="18" customHeight="1" x14ac:dyDescent="0.3">
      <c r="B102" s="107" t="str">
        <f>CC19</f>
        <v>University of Oregon</v>
      </c>
      <c r="C102" s="107"/>
      <c r="D102" s="107"/>
      <c r="E102" s="16"/>
      <c r="F102" s="16"/>
      <c r="G102" s="7"/>
      <c r="H102" s="7"/>
      <c r="I102" s="7"/>
      <c r="J102" s="7"/>
      <c r="K102" s="50" t="str">
        <f t="shared" si="23"/>
        <v>Prestige</v>
      </c>
      <c r="L102" s="87" t="str">
        <f t="shared" si="24"/>
        <v>Important</v>
      </c>
      <c r="M102" s="87" t="str">
        <f t="shared" si="25"/>
        <v>Good</v>
      </c>
      <c r="N102" s="88">
        <f t="shared" si="26"/>
        <v>28.007999999999999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E102" s="48"/>
      <c r="BF102" s="48"/>
      <c r="BG102" s="48"/>
      <c r="BH102" s="48"/>
      <c r="BI102" s="81"/>
      <c r="BJ102" s="81"/>
      <c r="BK102" s="81"/>
      <c r="BL102" s="81"/>
      <c r="BM102" s="81"/>
      <c r="BN102" s="81"/>
      <c r="BO102" s="81"/>
      <c r="BP102" s="81"/>
      <c r="BQ102" s="80"/>
      <c r="BR102" s="80"/>
      <c r="BS102" s="80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81"/>
      <c r="CE102" s="81"/>
      <c r="CF102" s="81"/>
      <c r="CG102" s="81"/>
      <c r="CH102" s="81"/>
      <c r="CI102" s="80"/>
    </row>
    <row r="103" spans="2:87" ht="18" customHeight="1" x14ac:dyDescent="0.3">
      <c r="B103" s="107" t="str">
        <f>CC18</f>
        <v>City College of New York</v>
      </c>
      <c r="C103" s="107"/>
      <c r="D103" s="107"/>
      <c r="E103" s="16"/>
      <c r="F103" s="16"/>
      <c r="G103" s="7"/>
      <c r="H103" s="7"/>
      <c r="I103" s="7"/>
      <c r="J103" s="7"/>
      <c r="K103" s="50" t="str">
        <f t="shared" si="23"/>
        <v>Social</v>
      </c>
      <c r="L103" s="87" t="str">
        <f t="shared" si="24"/>
        <v>Essential</v>
      </c>
      <c r="M103" s="87" t="str">
        <f t="shared" si="25"/>
        <v>Fair</v>
      </c>
      <c r="N103" s="88">
        <f t="shared" si="26"/>
        <v>18.009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E103" s="48"/>
      <c r="BF103" s="48"/>
      <c r="BG103" s="48"/>
      <c r="BH103" s="48"/>
      <c r="BI103" s="81"/>
      <c r="BJ103" s="81"/>
      <c r="BK103" s="81"/>
      <c r="BL103" s="81"/>
      <c r="BM103" s="81"/>
      <c r="BN103" s="81"/>
      <c r="BO103" s="81"/>
      <c r="BP103" s="81"/>
      <c r="BQ103" s="80"/>
      <c r="BR103" s="80"/>
      <c r="BS103" s="80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81"/>
      <c r="CE103" s="81"/>
      <c r="CF103" s="81"/>
      <c r="CG103" s="81"/>
      <c r="CH103" s="81"/>
      <c r="CI103" s="80"/>
    </row>
    <row r="104" spans="2:87" ht="18" customHeight="1" x14ac:dyDescent="0.3">
      <c r="B104" s="107" t="str">
        <f>CC17</f>
        <v>Northwestern University</v>
      </c>
      <c r="C104" s="107"/>
      <c r="D104" s="107"/>
      <c r="E104" s="16"/>
      <c r="F104" s="16"/>
      <c r="G104" s="7"/>
      <c r="H104" s="7"/>
      <c r="I104" s="7"/>
      <c r="J104" s="7"/>
      <c r="K104" s="50" t="str">
        <f t="shared" si="23"/>
        <v>Housing</v>
      </c>
      <c r="L104" s="87" t="str">
        <f t="shared" si="24"/>
        <v>Important</v>
      </c>
      <c r="M104" s="87" t="str">
        <f t="shared" si="25"/>
        <v>Fair</v>
      </c>
      <c r="N104" s="88">
        <f t="shared" si="26"/>
        <v>12.006</v>
      </c>
      <c r="O104" s="89"/>
      <c r="P104" s="89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E104" s="48"/>
      <c r="BF104" s="48"/>
      <c r="BG104" s="48"/>
      <c r="BH104" s="48"/>
      <c r="BI104" s="81"/>
      <c r="BJ104" s="81"/>
      <c r="BK104" s="81"/>
      <c r="BL104" s="81"/>
      <c r="BM104" s="81"/>
      <c r="BN104" s="81"/>
      <c r="BO104" s="81"/>
      <c r="BP104" s="81"/>
      <c r="BQ104" s="80"/>
      <c r="BR104" s="80"/>
      <c r="BS104" s="80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81"/>
      <c r="CE104" s="81"/>
      <c r="CF104" s="81"/>
      <c r="CG104" s="81"/>
      <c r="CH104" s="81"/>
      <c r="CI104" s="80"/>
    </row>
    <row r="105" spans="2:87" ht="18" customHeight="1" x14ac:dyDescent="0.3">
      <c r="B105" s="107" t="str">
        <f>CC16</f>
        <v>University of Utah</v>
      </c>
      <c r="C105" s="107"/>
      <c r="D105" s="107"/>
      <c r="E105" s="16"/>
      <c r="F105" s="16"/>
      <c r="G105" s="7"/>
      <c r="H105" s="7"/>
      <c r="I105" s="7"/>
      <c r="J105" s="7"/>
      <c r="K105" s="50" t="str">
        <f t="shared" si="23"/>
        <v>Facilities</v>
      </c>
      <c r="L105" s="87" t="str">
        <f t="shared" si="24"/>
        <v>Nice-to-have</v>
      </c>
      <c r="M105" s="87" t="str">
        <f t="shared" si="25"/>
        <v>Good</v>
      </c>
      <c r="N105" s="88">
        <f t="shared" si="26"/>
        <v>7.0039999999999996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E105" s="48"/>
      <c r="BF105" s="48"/>
      <c r="BG105" s="48"/>
      <c r="BH105" s="48"/>
      <c r="BI105" s="81"/>
      <c r="BJ105" s="81"/>
      <c r="BK105" s="81"/>
      <c r="BL105" s="81"/>
      <c r="BM105" s="81"/>
      <c r="BN105" s="81"/>
      <c r="BO105" s="81"/>
      <c r="BP105" s="81"/>
      <c r="BQ105" s="80"/>
      <c r="BR105" s="80"/>
      <c r="BS105" s="80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81"/>
      <c r="CE105" s="81"/>
      <c r="CF105" s="81"/>
      <c r="CG105" s="81"/>
      <c r="CH105" s="81"/>
      <c r="CI105" s="80"/>
    </row>
    <row r="106" spans="2:87" ht="18" customHeight="1" x14ac:dyDescent="0.3">
      <c r="B106" s="107" t="str">
        <f>CC15</f>
        <v>Cal State Los Angeles</v>
      </c>
      <c r="C106" s="107"/>
      <c r="D106" s="107"/>
      <c r="E106" s="16"/>
      <c r="F106" s="16"/>
      <c r="G106" s="7"/>
      <c r="H106" s="7"/>
      <c r="I106" s="7"/>
      <c r="J106" s="7"/>
      <c r="K106" s="50" t="str">
        <f t="shared" si="23"/>
        <v>Location</v>
      </c>
      <c r="L106" s="87" t="str">
        <f t="shared" si="24"/>
        <v>Nice-to-have</v>
      </c>
      <c r="M106" s="87" t="str">
        <f t="shared" si="25"/>
        <v>Poor</v>
      </c>
      <c r="N106" s="88">
        <f t="shared" si="26"/>
        <v>-0.99299999999999999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E106" s="48"/>
      <c r="BF106" s="48"/>
      <c r="BG106" s="48"/>
      <c r="BH106" s="48"/>
      <c r="BI106" s="81"/>
      <c r="BJ106" s="81"/>
      <c r="BK106" s="81"/>
      <c r="BL106" s="81"/>
      <c r="BM106" s="81"/>
      <c r="BN106" s="81"/>
      <c r="BO106" s="81"/>
      <c r="BP106" s="81"/>
      <c r="BQ106" s="80"/>
      <c r="BR106" s="80"/>
      <c r="BS106" s="80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81"/>
      <c r="CE106" s="81"/>
      <c r="CF106" s="81"/>
      <c r="CG106" s="81"/>
      <c r="CH106" s="81"/>
      <c r="CI106" s="80"/>
    </row>
    <row r="107" spans="2:87" ht="18" customHeight="1" x14ac:dyDescent="0.3">
      <c r="B107" s="107" t="str">
        <f>CC14</f>
        <v>Santa Monica College</v>
      </c>
      <c r="C107" s="107"/>
      <c r="D107" s="107"/>
      <c r="E107" s="16"/>
      <c r="F107" s="16"/>
      <c r="G107" s="7"/>
      <c r="H107" s="7"/>
      <c r="I107" s="7"/>
      <c r="J107" s="7"/>
      <c r="K107" s="50" t="str">
        <f t="shared" si="23"/>
        <v>Cost</v>
      </c>
      <c r="L107" s="87" t="str">
        <f t="shared" si="24"/>
        <v>Important</v>
      </c>
      <c r="M107" s="87" t="str">
        <f t="shared" si="25"/>
        <v>Poor</v>
      </c>
      <c r="N107" s="88">
        <f t="shared" si="26"/>
        <v>-3.9980000000000002</v>
      </c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E107" s="48"/>
      <c r="BF107" s="48"/>
      <c r="BG107" s="48"/>
      <c r="BH107" s="48"/>
      <c r="BI107" s="81"/>
      <c r="BJ107" s="81"/>
      <c r="BK107" s="81"/>
      <c r="BL107" s="81"/>
      <c r="BM107" s="81"/>
      <c r="BN107" s="81"/>
      <c r="BO107" s="81"/>
      <c r="BP107" s="81"/>
      <c r="BQ107" s="80"/>
      <c r="BR107" s="80"/>
      <c r="BS107" s="80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81"/>
      <c r="CE107" s="81"/>
      <c r="CF107" s="81"/>
      <c r="CG107" s="81"/>
      <c r="CH107" s="81"/>
      <c r="CI107" s="80"/>
    </row>
    <row r="108" spans="2:87" ht="18" customHeight="1" x14ac:dyDescent="0.3">
      <c r="B108" s="107" t="str">
        <f>CC13</f>
        <v>Amherst College</v>
      </c>
      <c r="C108" s="107"/>
      <c r="D108" s="107"/>
      <c r="E108" s="16"/>
      <c r="F108" s="16"/>
      <c r="G108" s="7"/>
      <c r="H108" s="7"/>
      <c r="I108" s="7"/>
      <c r="J108" s="54"/>
      <c r="K108" s="5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E108" s="48"/>
      <c r="BF108" s="48"/>
      <c r="BG108" s="48"/>
      <c r="BH108" s="48"/>
      <c r="BI108" s="81"/>
      <c r="BJ108" s="81"/>
      <c r="BK108" s="81"/>
      <c r="BL108" s="81"/>
      <c r="BM108" s="81"/>
      <c r="BN108" s="81"/>
      <c r="BO108" s="81"/>
      <c r="BP108" s="81"/>
      <c r="BQ108" s="80"/>
      <c r="BR108" s="80"/>
      <c r="BS108" s="80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81"/>
      <c r="CE108" s="81"/>
      <c r="CF108" s="81"/>
      <c r="CG108" s="81"/>
      <c r="CH108" s="81"/>
      <c r="CI108" s="80"/>
    </row>
    <row r="109" spans="2:87" ht="18" customHeight="1" x14ac:dyDescent="0.3">
      <c r="B109" s="107" t="str">
        <f>CC12</f>
        <v>Cal Tech</v>
      </c>
      <c r="C109" s="107"/>
      <c r="D109" s="107"/>
      <c r="E109" s="16"/>
      <c r="F109" s="1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E109" s="48"/>
      <c r="BF109" s="48"/>
      <c r="BG109" s="48"/>
      <c r="BH109" s="48"/>
      <c r="BI109" s="81"/>
      <c r="BJ109" s="81"/>
      <c r="BK109" s="81"/>
      <c r="BL109" s="81"/>
      <c r="BM109" s="81"/>
      <c r="BN109" s="81"/>
      <c r="BO109" s="81"/>
      <c r="BP109" s="81"/>
      <c r="BQ109" s="80"/>
      <c r="BR109" s="80"/>
      <c r="BS109" s="80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81"/>
      <c r="CE109" s="81"/>
      <c r="CF109" s="81"/>
      <c r="CG109" s="81"/>
      <c r="CH109" s="81"/>
      <c r="CI109" s="80"/>
    </row>
    <row r="110" spans="2:87" x14ac:dyDescent="0.3">
      <c r="C110" s="7"/>
      <c r="D110" s="7"/>
      <c r="E110" s="7"/>
      <c r="F110" s="7"/>
      <c r="G110" s="7"/>
      <c r="H110" s="7"/>
      <c r="I110" s="7"/>
      <c r="J110" s="7"/>
      <c r="K110" s="7"/>
      <c r="L110" s="1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E110" s="48"/>
      <c r="BF110" s="48"/>
      <c r="BG110" s="48"/>
      <c r="BH110" s="48"/>
      <c r="BI110" s="81"/>
      <c r="BJ110" s="81"/>
      <c r="BK110" s="81"/>
      <c r="BL110" s="81"/>
      <c r="BM110" s="81"/>
      <c r="BN110" s="81"/>
      <c r="BO110" s="81"/>
      <c r="BP110" s="81"/>
      <c r="BQ110" s="80"/>
      <c r="BR110" s="80"/>
      <c r="BS110" s="80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81"/>
      <c r="CE110" s="81"/>
      <c r="CF110" s="81"/>
      <c r="CG110" s="81"/>
      <c r="CH110" s="81"/>
      <c r="CI110" s="80"/>
    </row>
    <row r="111" spans="2:87" x14ac:dyDescent="0.3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E111" s="48"/>
      <c r="BF111" s="84"/>
      <c r="BG111" s="84"/>
      <c r="BH111" s="48"/>
      <c r="BI111" s="80"/>
      <c r="BJ111" s="48"/>
      <c r="BK111" s="48"/>
      <c r="BL111" s="48"/>
      <c r="BM111" s="48"/>
      <c r="BN111" s="48"/>
      <c r="BO111" s="48"/>
      <c r="BP111" s="48"/>
      <c r="BQ111" s="48"/>
      <c r="BR111" s="48"/>
      <c r="BS111" s="81"/>
      <c r="BT111" s="81"/>
      <c r="BU111" s="81"/>
      <c r="BV111" s="81"/>
      <c r="BW111" s="81"/>
      <c r="BX111" s="81"/>
      <c r="BY111" s="81"/>
      <c r="BZ111" s="81"/>
      <c r="CA111" s="80"/>
      <c r="CB111" s="80"/>
      <c r="CC111" s="80"/>
      <c r="CD111" s="81"/>
      <c r="CE111" s="81"/>
      <c r="CF111" s="81"/>
      <c r="CG111" s="81"/>
      <c r="CH111" s="81"/>
      <c r="CI111" s="80"/>
    </row>
    <row r="112" spans="2:87" x14ac:dyDescent="0.3">
      <c r="B112" s="7"/>
      <c r="C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E112" s="48"/>
      <c r="BF112" s="84"/>
      <c r="BG112" s="84"/>
      <c r="BH112" s="48"/>
      <c r="BI112" s="80"/>
      <c r="BJ112" s="48"/>
      <c r="BK112" s="48"/>
      <c r="BL112" s="48"/>
      <c r="BM112" s="48"/>
      <c r="BN112" s="48"/>
      <c r="BO112" s="48"/>
      <c r="BP112" s="48"/>
      <c r="BQ112" s="48"/>
      <c r="BR112" s="48"/>
      <c r="BS112" s="81"/>
      <c r="BT112" s="81"/>
      <c r="BU112" s="81"/>
      <c r="BV112" s="81"/>
      <c r="BW112" s="81"/>
      <c r="BX112" s="81"/>
      <c r="BY112" s="81"/>
      <c r="BZ112" s="81"/>
      <c r="CA112" s="80"/>
      <c r="CB112" s="80"/>
      <c r="CC112" s="80"/>
      <c r="CD112" s="81"/>
      <c r="CE112" s="81"/>
      <c r="CF112" s="81"/>
      <c r="CG112" s="81"/>
      <c r="CH112" s="81"/>
      <c r="CI112" s="80"/>
    </row>
    <row r="113" spans="2:87" x14ac:dyDescent="0.3">
      <c r="B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E113" s="48"/>
      <c r="BF113" s="84"/>
      <c r="BG113" s="84"/>
      <c r="BH113" s="48"/>
      <c r="BI113" s="80"/>
      <c r="BJ113" s="48"/>
      <c r="BK113" s="48"/>
      <c r="BL113" s="48"/>
      <c r="BM113" s="48"/>
      <c r="BN113" s="48"/>
      <c r="BO113" s="48"/>
      <c r="BP113" s="48"/>
      <c r="BQ113" s="48"/>
      <c r="BR113" s="48"/>
      <c r="BS113" s="81"/>
      <c r="BT113" s="81"/>
      <c r="BU113" s="81"/>
      <c r="BV113" s="81"/>
      <c r="BW113" s="81"/>
      <c r="BX113" s="81"/>
      <c r="BY113" s="81"/>
      <c r="BZ113" s="81"/>
      <c r="CA113" s="80"/>
      <c r="CB113" s="80"/>
      <c r="CC113" s="80"/>
      <c r="CD113" s="81"/>
      <c r="CE113" s="81"/>
      <c r="CF113" s="81"/>
      <c r="CG113" s="81"/>
      <c r="CH113" s="81"/>
      <c r="CI113" s="80"/>
    </row>
    <row r="114" spans="2:87" x14ac:dyDescent="0.3"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84"/>
      <c r="BF114" s="84"/>
      <c r="BG114" s="84"/>
      <c r="BH114" s="84"/>
      <c r="BI114" s="48"/>
      <c r="BJ114" s="48"/>
      <c r="BK114" s="48"/>
      <c r="BL114" s="48"/>
      <c r="BM114" s="48"/>
      <c r="BN114" s="48"/>
      <c r="BO114" s="48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0"/>
      <c r="CB114" s="80"/>
      <c r="CC114" s="80"/>
      <c r="CD114" s="81"/>
      <c r="CE114" s="81"/>
      <c r="CF114" s="81"/>
      <c r="CG114" s="81"/>
      <c r="CH114" s="81"/>
      <c r="CI114" s="80"/>
    </row>
    <row r="115" spans="2:87" x14ac:dyDescent="0.3"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84"/>
      <c r="BF115" s="84"/>
      <c r="BG115" s="84"/>
      <c r="BH115" s="84"/>
      <c r="BI115" s="80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0"/>
      <c r="CB115" s="80"/>
      <c r="CC115" s="80"/>
      <c r="CD115" s="81"/>
      <c r="CE115" s="81"/>
      <c r="CF115" s="81"/>
      <c r="CG115" s="81"/>
      <c r="CH115" s="81"/>
      <c r="CI115" s="80"/>
    </row>
    <row r="116" spans="2:87" x14ac:dyDescent="0.3">
      <c r="D116" s="7"/>
      <c r="E116" s="7"/>
      <c r="F116" s="7"/>
      <c r="G116" s="7"/>
      <c r="J116" s="7"/>
      <c r="K116" s="7"/>
      <c r="L116" s="7"/>
      <c r="M116" s="7"/>
      <c r="N116" s="7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E116" s="81"/>
      <c r="BF116" s="48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0"/>
      <c r="CB116" s="80"/>
      <c r="CC116" s="80"/>
      <c r="CD116" s="81"/>
      <c r="CE116" s="81"/>
      <c r="CF116" s="81"/>
      <c r="CG116" s="81"/>
      <c r="CH116" s="81"/>
      <c r="CI116" s="80"/>
    </row>
    <row r="117" spans="2:87" x14ac:dyDescent="0.3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BE117" s="60"/>
      <c r="BH117" s="60"/>
      <c r="BI117" s="60"/>
    </row>
    <row r="118" spans="2:87" x14ac:dyDescent="0.3">
      <c r="D118" s="7"/>
      <c r="E118" s="7"/>
      <c r="F118" s="7"/>
      <c r="G118" s="7"/>
      <c r="J118" s="7"/>
      <c r="K118" s="7"/>
      <c r="L118" s="7"/>
      <c r="M118" s="7"/>
      <c r="N118" s="7"/>
      <c r="BE118" s="60"/>
      <c r="BH118" s="60"/>
      <c r="BI118" s="60"/>
    </row>
    <row r="119" spans="2:87" x14ac:dyDescent="0.3">
      <c r="D119" s="7"/>
      <c r="E119" s="7"/>
      <c r="F119" s="7"/>
      <c r="G119" s="7"/>
      <c r="J119" s="7"/>
      <c r="K119" s="7"/>
      <c r="L119" s="7"/>
      <c r="M119" s="7"/>
      <c r="N119" s="7"/>
      <c r="BE119" s="60"/>
      <c r="BH119" s="60"/>
      <c r="BI119" s="60"/>
    </row>
    <row r="120" spans="2:87" x14ac:dyDescent="0.3">
      <c r="D120" s="7"/>
      <c r="E120" s="7"/>
      <c r="F120" s="7"/>
      <c r="G120" s="7"/>
      <c r="J120" s="7"/>
      <c r="K120" s="7"/>
      <c r="L120" s="7"/>
      <c r="M120" s="7"/>
      <c r="N120" s="7"/>
    </row>
    <row r="121" spans="2:87" x14ac:dyDescent="0.3">
      <c r="D121" s="7"/>
      <c r="E121" s="7"/>
      <c r="F121" s="7"/>
      <c r="G121" s="7"/>
      <c r="J121" s="7"/>
      <c r="K121" s="7"/>
      <c r="L121" s="7"/>
      <c r="M121" s="7"/>
      <c r="N121" s="7"/>
    </row>
    <row r="122" spans="2:87" x14ac:dyDescent="0.3">
      <c r="D122" s="7"/>
      <c r="E122" s="7"/>
      <c r="F122" s="7"/>
      <c r="I122" s="29"/>
      <c r="J122" s="7"/>
      <c r="K122" s="7"/>
      <c r="L122" s="7"/>
      <c r="M122" s="7"/>
      <c r="N122" s="7"/>
    </row>
    <row r="123" spans="2:87" x14ac:dyDescent="0.3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2:87" x14ac:dyDescent="0.3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2:87" x14ac:dyDescent="0.3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2:87" x14ac:dyDescent="0.3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2:87" x14ac:dyDescent="0.3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2:87" x14ac:dyDescent="0.3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4:14" x14ac:dyDescent="0.3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4:14" x14ac:dyDescent="0.3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4:14" x14ac:dyDescent="0.3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4:14" x14ac:dyDescent="0.3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4:14" x14ac:dyDescent="0.3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4:14" x14ac:dyDescent="0.3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4:14" x14ac:dyDescent="0.3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4:14" x14ac:dyDescent="0.3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4:14" x14ac:dyDescent="0.3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4:14" x14ac:dyDescent="0.3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4:14" x14ac:dyDescent="0.3">
      <c r="D139" s="7"/>
      <c r="E139" s="7"/>
      <c r="F139" s="7"/>
      <c r="G139" s="7"/>
      <c r="J139" s="7"/>
      <c r="K139" s="7"/>
      <c r="L139" s="7"/>
      <c r="M139" s="7"/>
      <c r="N139" s="7"/>
    </row>
    <row r="140" spans="4:14" x14ac:dyDescent="0.3">
      <c r="D140" s="7"/>
      <c r="E140" s="7"/>
      <c r="F140" s="7"/>
      <c r="G140" s="7"/>
      <c r="J140" s="7"/>
      <c r="K140" s="7"/>
      <c r="L140" s="7"/>
      <c r="M140" s="7"/>
      <c r="N140" s="7"/>
    </row>
    <row r="141" spans="4:14" x14ac:dyDescent="0.3">
      <c r="D141" s="7"/>
      <c r="E141" s="7"/>
      <c r="F141" s="7"/>
      <c r="G141" s="7"/>
      <c r="J141" s="7"/>
      <c r="K141" s="7"/>
      <c r="L141" s="7"/>
      <c r="M141" s="7"/>
      <c r="N141" s="7"/>
    </row>
    <row r="142" spans="4:14" x14ac:dyDescent="0.3">
      <c r="D142" s="7"/>
      <c r="E142" s="7"/>
      <c r="F142" s="7"/>
      <c r="G142" s="7"/>
      <c r="J142" s="7"/>
      <c r="K142" s="7"/>
      <c r="L142" s="7"/>
      <c r="M142" s="7"/>
      <c r="N142" s="7"/>
    </row>
    <row r="143" spans="4:14" x14ac:dyDescent="0.3">
      <c r="D143" s="7"/>
      <c r="E143" s="7"/>
      <c r="F143" s="7"/>
      <c r="G143" s="7"/>
      <c r="J143" s="7"/>
      <c r="K143" s="7"/>
      <c r="L143" s="7"/>
      <c r="M143" s="7"/>
      <c r="N143" s="7"/>
    </row>
    <row r="144" spans="4:14" x14ac:dyDescent="0.3">
      <c r="D144" s="7"/>
      <c r="E144" s="7"/>
      <c r="F144" s="7"/>
      <c r="G144" s="7"/>
      <c r="J144" s="7"/>
      <c r="K144" s="7"/>
      <c r="L144" s="7"/>
      <c r="M144" s="7"/>
      <c r="N144" s="7"/>
    </row>
    <row r="145" spans="4:14" x14ac:dyDescent="0.3">
      <c r="D145" s="7"/>
      <c r="E145" s="7"/>
      <c r="F145" s="7"/>
      <c r="G145" s="7"/>
      <c r="J145" s="7"/>
      <c r="K145" s="7"/>
      <c r="L145" s="7"/>
      <c r="M145" s="7"/>
      <c r="N145" s="7"/>
    </row>
    <row r="146" spans="4:14" x14ac:dyDescent="0.3">
      <c r="D146" s="7"/>
      <c r="E146" s="7"/>
      <c r="F146" s="7"/>
      <c r="G146" s="7"/>
      <c r="J146" s="7"/>
      <c r="K146" s="7"/>
      <c r="L146" s="7"/>
      <c r="M146" s="7"/>
      <c r="N146" s="7"/>
    </row>
    <row r="147" spans="4:14" x14ac:dyDescent="0.3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4:14" x14ac:dyDescent="0.3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4:14" x14ac:dyDescent="0.3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4:14" x14ac:dyDescent="0.3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4:14" x14ac:dyDescent="0.3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4:14" x14ac:dyDescent="0.3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4:14" x14ac:dyDescent="0.3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4:14" x14ac:dyDescent="0.3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4:14" x14ac:dyDescent="0.3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4:14" x14ac:dyDescent="0.3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4:14" x14ac:dyDescent="0.3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</sheetData>
  <sheetProtection algorithmName="SHA-512" hashValue="+h/ELuPaDvgDIJH48EDRYrYJfEhUMSfZHd27sX4vuIy0GJ7EM5ZqRWwSOSH+NL5qANGDa2OYXY2XSigtCnowhw==" saltValue="wmECNuGRKtPxpXfK3z0SqQ==" spinCount="100000" sheet="1" objects="1" scenarios="1" selectLockedCells="1" selectUnlockedCells="1"/>
  <sortState xmlns:xlrd2="http://schemas.microsoft.com/office/spreadsheetml/2017/richdata2" ref="C13:E37">
    <sortCondition ref="C13:C37"/>
  </sortState>
  <mergeCells count="36">
    <mergeCell ref="N10:N11"/>
    <mergeCell ref="C23:D23"/>
    <mergeCell ref="C24:D24"/>
    <mergeCell ref="E10:E11"/>
    <mergeCell ref="F10:F11"/>
    <mergeCell ref="G10:G11"/>
    <mergeCell ref="C13:D13"/>
    <mergeCell ref="C14:D14"/>
    <mergeCell ref="C15:D15"/>
    <mergeCell ref="C16:D16"/>
    <mergeCell ref="C17:D17"/>
    <mergeCell ref="C18:D18"/>
    <mergeCell ref="C19:D19"/>
    <mergeCell ref="C20:D20"/>
    <mergeCell ref="H27:I27"/>
    <mergeCell ref="C21:D21"/>
    <mergeCell ref="C22:D22"/>
    <mergeCell ref="L10:L11"/>
    <mergeCell ref="M10:M11"/>
    <mergeCell ref="H10:H11"/>
    <mergeCell ref="I10:I11"/>
    <mergeCell ref="J10:J11"/>
    <mergeCell ref="K10:K11"/>
    <mergeCell ref="B108:D108"/>
    <mergeCell ref="B109:D109"/>
    <mergeCell ref="H62:I63"/>
    <mergeCell ref="B98:D98"/>
    <mergeCell ref="B99:D99"/>
    <mergeCell ref="B103:D103"/>
    <mergeCell ref="B104:D104"/>
    <mergeCell ref="B105:D105"/>
    <mergeCell ref="B106:D106"/>
    <mergeCell ref="B107:D107"/>
    <mergeCell ref="B100:D100"/>
    <mergeCell ref="B101:D101"/>
    <mergeCell ref="B102:D102"/>
  </mergeCells>
  <phoneticPr fontId="9" type="noConversion"/>
  <conditionalFormatting sqref="L98:L107">
    <cfRule type="expression" dxfId="13" priority="6">
      <formula>IF(L98="Essential",TRUE,FALSE)</formula>
    </cfRule>
    <cfRule type="expression" dxfId="12" priority="7">
      <formula>IF(L98="Important",TRUE,FALSE)</formula>
    </cfRule>
    <cfRule type="expression" dxfId="11" priority="8">
      <formula>IF(L98="Nice-to-Have",TRUE,FALSE)</formula>
    </cfRule>
  </conditionalFormatting>
  <conditionalFormatting sqref="M98:M107">
    <cfRule type="expression" dxfId="10" priority="2">
      <formula>IF(M98="Poor",TRUE,FALSE)</formula>
    </cfRule>
    <cfRule type="expression" dxfId="9" priority="3">
      <formula>IF(M98="Fair",TRUE,FALSE)</formula>
    </cfRule>
    <cfRule type="expression" dxfId="8" priority="4">
      <formula>IF(M98="Good",TRUE,FALSE)</formula>
    </cfRule>
    <cfRule type="expression" dxfId="7" priority="5">
      <formula>IF(M98="Excellent",TRUE,FALSE)</formula>
    </cfRule>
  </conditionalFormatting>
  <conditionalFormatting sqref="N98:N107">
    <cfRule type="colorScale" priority="1">
      <colorScale>
        <cfvo type="min"/>
        <cfvo type="percentile" val="50"/>
        <cfvo type="max"/>
        <color rgb="FFFBFDFF"/>
        <color rgb="FFE9F4FF"/>
        <color rgb="FFC1E0FF"/>
      </colorScale>
    </cfRule>
  </conditionalFormatting>
  <conditionalFormatting sqref="CL4:CL10">
    <cfRule type="expression" dxfId="6" priority="30">
      <formula>IF(CL4="Essential",TRUE,FALSE)</formula>
    </cfRule>
    <cfRule type="expression" dxfId="5" priority="31">
      <formula>IF(CL4="Important",TRUE,FALSE)</formula>
    </cfRule>
    <cfRule type="expression" dxfId="4" priority="32">
      <formula>IF(CL4="Nice-to-Have",TRUE,FALSE)</formula>
    </cfRule>
  </conditionalFormatting>
  <conditionalFormatting sqref="CM4:CM10">
    <cfRule type="expression" dxfId="3" priority="26">
      <formula>IF(CM4="Poor",TRUE,FALSE)</formula>
    </cfRule>
    <cfRule type="expression" dxfId="2" priority="27">
      <formula>IF(CM4="Fair",TRUE,FALSE)</formula>
    </cfRule>
    <cfRule type="expression" dxfId="1" priority="28">
      <formula>IF(CM4="Good",TRUE,FALSE)</formula>
    </cfRule>
    <cfRule type="expression" dxfId="0" priority="29">
      <formula>IF(CM4="Excellent",TRUE,FALSE)</formula>
    </cfRule>
  </conditionalFormatting>
  <conditionalFormatting sqref="CN4:CN10">
    <cfRule type="colorScale" priority="33">
      <colorScale>
        <cfvo type="min"/>
        <cfvo type="percentile" val="50"/>
        <cfvo type="max"/>
        <color rgb="FFF2F2F2"/>
        <color rgb="FFCECECE"/>
        <color rgb="FFA6A6A6"/>
      </colorScale>
    </cfRule>
  </conditionalFormatting>
  <dataValidations count="2">
    <dataValidation type="list" allowBlank="1" showInputMessage="1" showErrorMessage="1" error="Please select from list" sqref="E12:N12" xr:uid="{6EE8DC3C-610E-4B95-BB40-642466F6D9C1}">
      <formula1>"Essential,Important,Nice-to-have"</formula1>
    </dataValidation>
    <dataValidation type="list" allowBlank="1" showInputMessage="1" showErrorMessage="1" error="Please select from list" sqref="E13:N24" xr:uid="{C9B75EAC-C56E-4CEF-BD1E-83987702B864}">
      <formula1>"Excellent,Good,Fair,Poor"</formula1>
    </dataValidation>
  </dataValidations>
  <printOptions horizontalCentered="1"/>
  <pageMargins left="0.5" right="0.5" top="0.75" bottom="0" header="0.5" footer="0.5"/>
  <pageSetup scale="74" orientation="landscape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DecisionMaker</vt:lpstr>
      <vt:lpstr>DecisionMaker!Print_Area</vt:lpstr>
    </vt:vector>
  </TitlesOfParts>
  <Company>(none)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bldig</dc:creator>
  <cp:lastModifiedBy>Scott Beber</cp:lastModifiedBy>
  <cp:lastPrinted>2025-12-22T04:52:09Z</cp:lastPrinted>
  <dcterms:created xsi:type="dcterms:W3CDTF">2002-12-26T03:25:04Z</dcterms:created>
  <dcterms:modified xsi:type="dcterms:W3CDTF">2025-12-22T05:48:06Z</dcterms:modified>
</cp:coreProperties>
</file>