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ScottsFiles\Documents\Work\Models\Finance Seminar\"/>
    </mc:Choice>
  </mc:AlternateContent>
  <xr:revisionPtr revIDLastSave="0" documentId="13_ncr:1_{08987BE6-CBB7-4363-BF2C-1D0BEC4F31F9}" xr6:coauthVersionLast="47" xr6:coauthVersionMax="47" xr10:uidLastSave="{00000000-0000-0000-0000-000000000000}"/>
  <bookViews>
    <workbookView xWindow="-108" yWindow="-108" windowWidth="23256" windowHeight="12456" tabRatio="811" activeTab="10" xr2:uid="{00000000-000D-0000-FFFF-FFFF00000000}"/>
  </bookViews>
  <sheets>
    <sheet name="Financials" sheetId="28" r:id="rId1"/>
    <sheet name="Balance" sheetId="97" r:id="rId2"/>
    <sheet name="ProFormas" sheetId="40" r:id="rId3"/>
    <sheet name="PV" sheetId="87" r:id="rId4"/>
    <sheet name="FV" sheetId="98" r:id="rId5"/>
    <sheet name="IRR" sheetId="92" r:id="rId6"/>
    <sheet name="Annuities" sheetId="91" r:id="rId7"/>
    <sheet name="WACC" sheetId="95" r:id="rId8"/>
    <sheet name="Valuation" sheetId="84" r:id="rId9"/>
    <sheet name="Bonds" sheetId="100" r:id="rId10"/>
    <sheet name="ℹ️ " sheetId="101" r:id="rId11"/>
  </sheets>
  <definedNames>
    <definedName name="_xlnm.Print_Area" localSheetId="6">Annuities!$A$1</definedName>
    <definedName name="_xlnm.Print_Area" localSheetId="1">Balance!$A$1</definedName>
    <definedName name="_xlnm.Print_Area" localSheetId="9">Bonds!#REF!</definedName>
    <definedName name="_xlnm.Print_Area" localSheetId="0">Financials!$A$1</definedName>
    <definedName name="_xlnm.Print_Area" localSheetId="4">FV!$A$1</definedName>
    <definedName name="_xlnm.Print_Area" localSheetId="5">IRR!$A$1</definedName>
    <definedName name="_xlnm.Print_Area" localSheetId="10">'ℹ️ '!$A$1</definedName>
    <definedName name="_xlnm.Print_Area" localSheetId="2">ProFormas!$A$1</definedName>
    <definedName name="_xlnm.Print_Area" localSheetId="3">PV!$A$1</definedName>
    <definedName name="_xlnm.Print_Area" localSheetId="8">Valuation!$A$1</definedName>
    <definedName name="_xlnm.Print_Area" localSheetId="7">WACC!$A$1</definedName>
    <definedName name="_xlnm.Print_Titles" localSheetId="6">Annuities!$2:$3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2" i="91" l="1"/>
  <c r="P13" i="91" s="1"/>
  <c r="M12" i="91"/>
  <c r="H12" i="91"/>
  <c r="E12" i="91" l="1"/>
  <c r="F13" i="40"/>
  <c r="E13" i="40"/>
  <c r="H24" i="95"/>
  <c r="J14" i="91"/>
  <c r="J15" i="91"/>
  <c r="J16" i="91"/>
  <c r="J17" i="91"/>
  <c r="J18" i="91"/>
  <c r="J19" i="91"/>
  <c r="J13" i="91"/>
  <c r="K13" i="91"/>
  <c r="E19" i="91"/>
  <c r="O12" i="91"/>
  <c r="O13" i="91"/>
  <c r="O14" i="91"/>
  <c r="O15" i="91"/>
  <c r="O16" i="91"/>
  <c r="J12" i="91"/>
  <c r="D23" i="100"/>
  <c r="R22" i="100"/>
  <c r="R23" i="100"/>
  <c r="R24" i="100"/>
  <c r="R25" i="100"/>
  <c r="R26" i="100"/>
  <c r="R27" i="100"/>
  <c r="R28" i="100"/>
  <c r="R29" i="100"/>
  <c r="D29" i="100"/>
  <c r="P21" i="100"/>
  <c r="S21" i="100" s="1"/>
  <c r="V24" i="100"/>
  <c r="V22" i="100"/>
  <c r="V29" i="100"/>
  <c r="V28" i="100"/>
  <c r="V27" i="100"/>
  <c r="V26" i="100"/>
  <c r="V25" i="100"/>
  <c r="V23" i="100"/>
  <c r="R21" i="100"/>
  <c r="D24" i="100"/>
  <c r="D28" i="100" s="1"/>
  <c r="P22" i="100" l="1"/>
  <c r="AA22" i="100" s="1"/>
  <c r="AA21" i="100"/>
  <c r="X22" i="100"/>
  <c r="T21" i="100"/>
  <c r="S22" i="100" l="1"/>
  <c r="T22" i="100" s="1"/>
  <c r="W22" i="100"/>
  <c r="Y22" i="100" s="1"/>
  <c r="P23" i="100"/>
  <c r="X23" i="100"/>
  <c r="X24" i="100" l="1"/>
  <c r="W23" i="100"/>
  <c r="Y23" i="100" s="1"/>
  <c r="AA23" i="100"/>
  <c r="S23" i="100"/>
  <c r="T23" i="100" s="1"/>
  <c r="P24" i="100"/>
  <c r="F10" i="40"/>
  <c r="W24" i="100" l="1"/>
  <c r="Y24" i="100" s="1"/>
  <c r="X25" i="100"/>
  <c r="AA24" i="100"/>
  <c r="P25" i="100"/>
  <c r="S24" i="100"/>
  <c r="T24" i="100" s="1"/>
  <c r="Z13" i="95"/>
  <c r="V13" i="95"/>
  <c r="R13" i="95"/>
  <c r="N13" i="95"/>
  <c r="W25" i="100" l="1"/>
  <c r="Y25" i="100" s="1"/>
  <c r="X26" i="100"/>
  <c r="S25" i="100"/>
  <c r="T25" i="100" s="1"/>
  <c r="AA25" i="100"/>
  <c r="P26" i="100"/>
  <c r="D10" i="40"/>
  <c r="E10" i="40"/>
  <c r="W26" i="100" l="1"/>
  <c r="Y26" i="100" s="1"/>
  <c r="X27" i="100"/>
  <c r="S26" i="100"/>
  <c r="T26" i="100" s="1"/>
  <c r="P27" i="100"/>
  <c r="AA26" i="100"/>
  <c r="W27" i="100" l="1"/>
  <c r="Y27" i="100" s="1"/>
  <c r="X28" i="100"/>
  <c r="S27" i="100"/>
  <c r="T27" i="100" s="1"/>
  <c r="AA27" i="100"/>
  <c r="P28" i="100"/>
  <c r="H22" i="95"/>
  <c r="G11" i="92"/>
  <c r="W28" i="100" l="1"/>
  <c r="Y28" i="100" s="1"/>
  <c r="X29" i="100"/>
  <c r="S28" i="100"/>
  <c r="T28" i="100" s="1"/>
  <c r="AA28" i="100"/>
  <c r="P29" i="100"/>
  <c r="D20" i="95"/>
  <c r="W29" i="100" l="1"/>
  <c r="Y29" i="100" s="1"/>
  <c r="S29" i="100"/>
  <c r="T29" i="100" s="1"/>
  <c r="AA29" i="100"/>
  <c r="E18" i="91"/>
  <c r="E17" i="91"/>
  <c r="E16" i="91"/>
  <c r="E13" i="91"/>
  <c r="N24" i="84"/>
  <c r="H24" i="84" s="1"/>
  <c r="N23" i="84"/>
  <c r="N22" i="84"/>
  <c r="N21" i="84"/>
  <c r="O21" i="84" s="1"/>
  <c r="N16" i="84"/>
  <c r="O19" i="84"/>
  <c r="O20" i="84"/>
  <c r="AE19" i="84"/>
  <c r="AB19" i="84"/>
  <c r="AA19" i="84"/>
  <c r="V16" i="84"/>
  <c r="F16" i="92"/>
  <c r="S19" i="95"/>
  <c r="AC13" i="95" s="1"/>
  <c r="H11" i="92"/>
  <c r="J11" i="92" s="1"/>
  <c r="D13" i="40"/>
  <c r="D15" i="28"/>
  <c r="S22" i="95"/>
  <c r="P13" i="95" s="1"/>
  <c r="H20" i="84" l="1"/>
  <c r="F21" i="92"/>
  <c r="G16" i="92"/>
  <c r="AB20" i="84"/>
  <c r="S20" i="95"/>
  <c r="X13" i="95" s="1"/>
  <c r="G21" i="92" l="1"/>
  <c r="E15" i="91" l="1"/>
  <c r="E14" i="91"/>
  <c r="F13" i="91"/>
  <c r="L11" i="92"/>
  <c r="L21" i="92"/>
  <c r="L16" i="92"/>
  <c r="K11" i="92"/>
  <c r="K12" i="92"/>
  <c r="K13" i="92"/>
  <c r="K14" i="92"/>
  <c r="K15" i="92"/>
  <c r="K16" i="92"/>
  <c r="K17" i="92"/>
  <c r="K18" i="92"/>
  <c r="K19" i="92"/>
  <c r="K20" i="92"/>
  <c r="K21" i="92"/>
  <c r="K22" i="92"/>
  <c r="K23" i="92"/>
  <c r="K24" i="92"/>
  <c r="K25" i="92"/>
  <c r="L25" i="92"/>
  <c r="L24" i="92"/>
  <c r="L23" i="92"/>
  <c r="L22" i="92"/>
  <c r="L17" i="92"/>
  <c r="L18" i="92"/>
  <c r="L19" i="92"/>
  <c r="L20" i="92"/>
  <c r="L15" i="92"/>
  <c r="L12" i="92"/>
  <c r="L13" i="92"/>
  <c r="L14" i="92"/>
  <c r="H16" i="92"/>
  <c r="J16" i="92" s="1"/>
  <c r="M17" i="92" s="1"/>
  <c r="H21" i="92"/>
  <c r="J21" i="92" s="1"/>
  <c r="M24" i="92" l="1"/>
  <c r="M22" i="92"/>
  <c r="M20" i="92"/>
  <c r="M18" i="92"/>
  <c r="M19" i="92"/>
  <c r="M14" i="92"/>
  <c r="M13" i="92"/>
  <c r="M23" i="92"/>
  <c r="M12" i="92"/>
  <c r="M15" i="92"/>
  <c r="M25" i="92"/>
  <c r="M11" i="92" l="1"/>
  <c r="M16" i="92"/>
  <c r="M21" i="92"/>
  <c r="F18" i="40" l="1"/>
  <c r="Q11" i="40" s="1"/>
  <c r="F15" i="40"/>
  <c r="U17" i="40"/>
  <c r="U16" i="40"/>
  <c r="O15" i="84" l="1"/>
  <c r="O17" i="84"/>
  <c r="O18" i="84"/>
  <c r="O22" i="84"/>
  <c r="O23" i="84"/>
  <c r="T9" i="28" l="1"/>
  <c r="D21" i="95" s="1"/>
  <c r="K23" i="40"/>
  <c r="J23" i="40"/>
  <c r="O19" i="28"/>
  <c r="I26" i="28"/>
  <c r="L23" i="40" l="1"/>
  <c r="Q21" i="40" s="1"/>
  <c r="P21" i="40"/>
  <c r="D18" i="28"/>
  <c r="S21" i="95"/>
  <c r="T13" i="95" s="1"/>
  <c r="U18" i="40"/>
  <c r="O17" i="28"/>
  <c r="O15" i="28"/>
  <c r="O16" i="28" s="1"/>
  <c r="O13" i="28"/>
  <c r="O12" i="28"/>
  <c r="O11" i="28"/>
  <c r="J19" i="28"/>
  <c r="J21" i="28" s="1"/>
  <c r="I19" i="28"/>
  <c r="I21" i="28" s="1"/>
  <c r="J13" i="28"/>
  <c r="J14" i="28" s="1"/>
  <c r="E18" i="28"/>
  <c r="E15" i="28"/>
  <c r="E10" i="28"/>
  <c r="K19" i="40"/>
  <c r="I14" i="28"/>
  <c r="AB23" i="84" l="1"/>
  <c r="L19" i="40"/>
  <c r="Q19" i="40" s="1"/>
  <c r="E17" i="40"/>
  <c r="E17" i="28"/>
  <c r="D10" i="28"/>
  <c r="D17" i="28" s="1"/>
  <c r="D19" i="28" l="1"/>
  <c r="D20" i="28" s="1"/>
  <c r="D22" i="40" s="1"/>
  <c r="E19" i="40"/>
  <c r="E19" i="28"/>
  <c r="E21" i="40" s="1"/>
  <c r="D19" i="40"/>
  <c r="E20" i="28" l="1"/>
  <c r="E22" i="40" l="1"/>
  <c r="P10" i="40" s="1"/>
  <c r="J25" i="28"/>
  <c r="AF23" i="84"/>
  <c r="D11" i="40" l="1"/>
  <c r="E11" i="40"/>
  <c r="J11" i="40"/>
  <c r="K11" i="40"/>
  <c r="J12" i="40"/>
  <c r="K12" i="40"/>
  <c r="D14" i="40"/>
  <c r="E14" i="40"/>
  <c r="F14" i="40" s="1"/>
  <c r="D15" i="40"/>
  <c r="E15" i="40"/>
  <c r="D16" i="40"/>
  <c r="E16" i="40"/>
  <c r="J14" i="40"/>
  <c r="K14" i="40"/>
  <c r="J15" i="40"/>
  <c r="D18" i="40"/>
  <c r="E18" i="40"/>
  <c r="P11" i="40" s="1"/>
  <c r="J18" i="40"/>
  <c r="K18" i="40"/>
  <c r="J19" i="40"/>
  <c r="P19" i="40" s="1"/>
  <c r="D23" i="40"/>
  <c r="E23" i="40"/>
  <c r="J21" i="40"/>
  <c r="K21" i="40"/>
  <c r="J24" i="40"/>
  <c r="K24" i="40"/>
  <c r="J25" i="40"/>
  <c r="K15" i="40"/>
  <c r="O21" i="28"/>
  <c r="O9" i="28"/>
  <c r="I27" i="28"/>
  <c r="I8" i="28" s="1"/>
  <c r="J10" i="40" s="1"/>
  <c r="J16" i="40"/>
  <c r="P15" i="40" l="1"/>
  <c r="L24" i="40"/>
  <c r="Q22" i="40" s="1"/>
  <c r="P22" i="40"/>
  <c r="L21" i="40"/>
  <c r="P20" i="40"/>
  <c r="P13" i="40"/>
  <c r="F23" i="40"/>
  <c r="Q23" i="40" s="1"/>
  <c r="P23" i="40"/>
  <c r="L14" i="40"/>
  <c r="Q17" i="40" s="1"/>
  <c r="Q18" i="40" s="1"/>
  <c r="P17" i="40"/>
  <c r="P18" i="40" s="1"/>
  <c r="P14" i="40"/>
  <c r="L15" i="40"/>
  <c r="L11" i="40"/>
  <c r="Q13" i="40" s="1"/>
  <c r="L18" i="40"/>
  <c r="F16" i="40"/>
  <c r="F17" i="40" s="1"/>
  <c r="L12" i="40"/>
  <c r="Q14" i="40" s="1"/>
  <c r="F11" i="40"/>
  <c r="J26" i="40"/>
  <c r="D17" i="40"/>
  <c r="D12" i="40"/>
  <c r="E12" i="40"/>
  <c r="K16" i="40"/>
  <c r="L16" i="40" l="1"/>
  <c r="P16" i="40"/>
  <c r="P24" i="40"/>
  <c r="F20" i="40"/>
  <c r="Q20" i="40"/>
  <c r="Q24" i="40" s="1"/>
  <c r="L20" i="40"/>
  <c r="L22" i="40" s="1"/>
  <c r="Q15" i="40"/>
  <c r="F12" i="40"/>
  <c r="F19" i="40" s="1"/>
  <c r="P25" i="40" l="1"/>
  <c r="F21" i="40"/>
  <c r="F22" i="40" s="1"/>
  <c r="D21" i="40"/>
  <c r="J20" i="40"/>
  <c r="Q10" i="40" l="1"/>
  <c r="Q16" i="40" s="1"/>
  <c r="Q25" i="40" s="1"/>
  <c r="D20" i="40"/>
  <c r="J22" i="40"/>
  <c r="J27" i="40" l="1"/>
  <c r="K20" i="40" l="1"/>
  <c r="O18" i="28"/>
  <c r="O20" i="28"/>
  <c r="O22" i="28" l="1"/>
  <c r="K22" i="40" l="1"/>
  <c r="E20" i="40" l="1"/>
  <c r="J26" i="28" l="1"/>
  <c r="O8" i="28"/>
  <c r="O14" i="28" l="1"/>
  <c r="O23" i="28" s="1"/>
  <c r="J27" i="28"/>
  <c r="K25" i="40"/>
  <c r="L25" i="40" s="1"/>
  <c r="L26" i="40" s="1"/>
  <c r="N14" i="95" l="1"/>
  <c r="Z14" i="95"/>
  <c r="R14" i="95"/>
  <c r="V14" i="95"/>
  <c r="T21" i="95"/>
  <c r="R21" i="95" s="1"/>
  <c r="T20" i="95"/>
  <c r="R20" i="95" s="1"/>
  <c r="T19" i="95"/>
  <c r="R19" i="95" s="1"/>
  <c r="T22" i="95"/>
  <c r="R22" i="95" s="1"/>
  <c r="J8" i="28"/>
  <c r="N24" i="28" s="1"/>
  <c r="K26" i="40"/>
  <c r="AA25" i="95" l="1"/>
  <c r="K10" i="40"/>
  <c r="V17" i="84"/>
  <c r="O24" i="28"/>
  <c r="L27" i="40"/>
  <c r="K27" i="40"/>
  <c r="L10" i="40" l="1"/>
  <c r="D11" i="98"/>
  <c r="D22" i="98"/>
  <c r="D16" i="98"/>
  <c r="U12" i="91"/>
  <c r="D11" i="87"/>
  <c r="M11" i="87" s="1"/>
  <c r="D16" i="87"/>
  <c r="O21" i="87"/>
  <c r="O11" i="87"/>
  <c r="U11" i="87" s="1"/>
  <c r="E15" i="84"/>
  <c r="D21" i="87"/>
  <c r="O16" i="87"/>
  <c r="J11" i="28"/>
  <c r="J15" i="28" s="1"/>
  <c r="L13" i="91" l="1"/>
  <c r="M13" i="91" s="1"/>
  <c r="E28" i="91"/>
  <c r="J28" i="91"/>
  <c r="R31" i="91"/>
  <c r="M31" i="91"/>
  <c r="M28" i="91"/>
  <c r="H28" i="91"/>
  <c r="H31" i="91"/>
  <c r="Q13" i="91"/>
  <c r="R13" i="91" s="1"/>
  <c r="P14" i="91" s="1"/>
  <c r="M17" i="98"/>
  <c r="J17" i="98"/>
  <c r="J20" i="98"/>
  <c r="J16" i="98"/>
  <c r="J19" i="98"/>
  <c r="J18" i="98"/>
  <c r="M19" i="98"/>
  <c r="P16" i="98"/>
  <c r="M18" i="98"/>
  <c r="M20" i="98"/>
  <c r="O16" i="98"/>
  <c r="M16" i="98"/>
  <c r="M26" i="98"/>
  <c r="J25" i="98"/>
  <c r="M23" i="98"/>
  <c r="J26" i="98"/>
  <c r="M22" i="98"/>
  <c r="J23" i="98"/>
  <c r="J24" i="98"/>
  <c r="P22" i="98"/>
  <c r="J22" i="98"/>
  <c r="M24" i="98"/>
  <c r="M25" i="98"/>
  <c r="O22" i="98"/>
  <c r="M15" i="98"/>
  <c r="P11" i="98"/>
  <c r="J11" i="98"/>
  <c r="O11" i="98"/>
  <c r="G13" i="91"/>
  <c r="H13" i="91" s="1"/>
  <c r="H25" i="84"/>
  <c r="I24" i="84" s="1"/>
  <c r="H21" i="84"/>
  <c r="U21" i="87"/>
  <c r="R21" i="87"/>
  <c r="V21" i="87"/>
  <c r="V11" i="87"/>
  <c r="R11" i="87"/>
  <c r="U16" i="87"/>
  <c r="R16" i="87"/>
  <c r="V16" i="87"/>
  <c r="L13" i="40"/>
  <c r="L17" i="40" s="1"/>
  <c r="Q26" i="40"/>
  <c r="P17" i="84"/>
  <c r="P24" i="84"/>
  <c r="P22" i="84"/>
  <c r="P15" i="84"/>
  <c r="P18" i="84"/>
  <c r="P21" i="84"/>
  <c r="P16" i="84"/>
  <c r="P19" i="84"/>
  <c r="P20" i="84"/>
  <c r="P23" i="84"/>
  <c r="Q19" i="84"/>
  <c r="Q20" i="84"/>
  <c r="Q15" i="84"/>
  <c r="N25" i="84"/>
  <c r="O24" i="84" s="1"/>
  <c r="Q24" i="84" s="1"/>
  <c r="Q22" i="84"/>
  <c r="Q21" i="84"/>
  <c r="Q23" i="84"/>
  <c r="Q17" i="84"/>
  <c r="Q16" i="84"/>
  <c r="Q18" i="84"/>
  <c r="M15" i="87"/>
  <c r="J15" i="87"/>
  <c r="J23" i="87"/>
  <c r="M25" i="87"/>
  <c r="M22" i="87"/>
  <c r="M23" i="87"/>
  <c r="J25" i="87"/>
  <c r="J22" i="87"/>
  <c r="J24" i="87"/>
  <c r="M24" i="87"/>
  <c r="S21" i="87"/>
  <c r="M18" i="87"/>
  <c r="J18" i="87"/>
  <c r="M20" i="87"/>
  <c r="M19" i="87"/>
  <c r="J20" i="87"/>
  <c r="J19" i="87"/>
  <c r="M17" i="87"/>
  <c r="J17" i="87"/>
  <c r="S11" i="87"/>
  <c r="S16" i="87"/>
  <c r="K17" i="40"/>
  <c r="K13" i="40"/>
  <c r="K14" i="91" l="1"/>
  <c r="F14" i="91"/>
  <c r="Q14" i="91"/>
  <c r="R14" i="91" s="1"/>
  <c r="P15" i="91" s="1"/>
  <c r="R26" i="40"/>
  <c r="R25" i="40"/>
  <c r="M21" i="98"/>
  <c r="M27" i="98"/>
  <c r="R15" i="84"/>
  <c r="M16" i="87"/>
  <c r="M21" i="87"/>
  <c r="L14" i="91" l="1"/>
  <c r="M14" i="91" s="1"/>
  <c r="G14" i="91"/>
  <c r="H14" i="91" s="1"/>
  <c r="F15" i="91" s="1"/>
  <c r="Q15" i="91"/>
  <c r="R15" i="91" s="1"/>
  <c r="P16" i="91" s="1"/>
  <c r="P26" i="40"/>
  <c r="I11" i="28"/>
  <c r="I15" i="28" s="1"/>
  <c r="J17" i="40" s="1"/>
  <c r="G15" i="91" l="1"/>
  <c r="H15" i="91" s="1"/>
  <c r="F16" i="91" s="1"/>
  <c r="Q16" i="91"/>
  <c r="J13" i="40"/>
  <c r="R16" i="91" l="1"/>
  <c r="P17" i="91" s="1"/>
  <c r="K15" i="91"/>
  <c r="G16" i="91"/>
  <c r="AF19" i="84"/>
  <c r="AF20" i="84" s="1"/>
  <c r="Q17" i="91" l="1"/>
  <c r="R17" i="91" s="1"/>
  <c r="L15" i="91"/>
  <c r="M15" i="91" s="1"/>
  <c r="H16" i="91"/>
  <c r="F17" i="91" s="1"/>
  <c r="AF24" i="84"/>
  <c r="AF25" i="84"/>
  <c r="AB24" i="84"/>
  <c r="AB25" i="84"/>
  <c r="O16" i="84"/>
  <c r="S15" i="84" s="1"/>
  <c r="R19" i="91" l="1"/>
  <c r="R18" i="91"/>
  <c r="K16" i="91"/>
  <c r="G17" i="91"/>
  <c r="H17" i="91" s="1"/>
  <c r="F18" i="91" s="1"/>
  <c r="V15" i="84"/>
  <c r="V18" i="84" s="1"/>
  <c r="R20" i="91" l="1"/>
  <c r="L16" i="91"/>
  <c r="M16" i="91" s="1"/>
  <c r="K17" i="91" s="1"/>
  <c r="G18" i="91"/>
  <c r="L17" i="91" l="1"/>
  <c r="M17" i="91" s="1"/>
  <c r="K18" i="91" s="1"/>
  <c r="H18" i="91"/>
  <c r="F19" i="91" s="1"/>
  <c r="L18" i="91" l="1"/>
  <c r="M18" i="91" s="1"/>
  <c r="K19" i="91" s="1"/>
  <c r="G19" i="91"/>
  <c r="L19" i="91" l="1"/>
  <c r="M19" i="91" s="1"/>
  <c r="H19" i="91"/>
  <c r="F20" i="91" s="1"/>
  <c r="K20" i="91" l="1"/>
  <c r="G20" i="91"/>
  <c r="H20" i="91" l="1"/>
  <c r="H21" i="91" s="1"/>
  <c r="H22" i="91" s="1"/>
  <c r="L20" i="91"/>
  <c r="E26" i="91" l="1"/>
  <c r="H24" i="91"/>
  <c r="E20" i="91"/>
  <c r="H26" i="91"/>
  <c r="H29" i="91" s="1"/>
  <c r="E24" i="91"/>
  <c r="M20" i="91"/>
  <c r="M21" i="91" s="1"/>
  <c r="M22" i="91" s="1"/>
  <c r="M26" i="91" l="1"/>
  <c r="J24" i="91"/>
  <c r="J26" i="91"/>
  <c r="E30" i="91"/>
  <c r="H30" i="91"/>
  <c r="H32" i="91" s="1"/>
  <c r="M24" i="91"/>
  <c r="J20" i="91"/>
  <c r="J30" i="91" s="1"/>
  <c r="M29" i="91"/>
  <c r="M30" i="91" l="1"/>
  <c r="M32" i="91" s="1"/>
  <c r="R26" i="91"/>
  <c r="O17" i="91"/>
  <c r="R28" i="91" s="1"/>
  <c r="O26" i="91"/>
  <c r="R24" i="91"/>
  <c r="O28" i="91" l="1"/>
  <c r="R29" i="91"/>
  <c r="O30" i="91"/>
  <c r="O24" i="91"/>
  <c r="R30" i="91"/>
  <c r="R32" i="9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bldig</author>
  </authors>
  <commentList>
    <comment ref="A1" authorId="0" shapeId="0" xr:uid="{2D1FBBCD-D4EE-4CB1-B8B6-58F0B136D907}">
      <text>
        <r>
          <rPr>
            <sz val="9"/>
            <color indexed="81"/>
            <rFont val="Segoe UI Variable Display Semib"/>
          </rPr>
          <t>R</t>
        </r>
        <r>
          <rPr>
            <sz val="8.5"/>
            <color indexed="81"/>
            <rFont val="Segoe UI Variable Display Semib"/>
          </rPr>
          <t xml:space="preserve">ECOMMENDED </t>
        </r>
        <r>
          <rPr>
            <sz val="9"/>
            <color indexed="81"/>
            <rFont val="Segoe UI Variable Display Semib"/>
          </rPr>
          <t>S</t>
        </r>
        <r>
          <rPr>
            <sz val="8.5"/>
            <color indexed="81"/>
            <rFont val="Segoe UI Variable Display Semib"/>
          </rPr>
          <t>ETTINGS</t>
        </r>
        <r>
          <rPr>
            <sz val="8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Display</t>
        </r>
        <r>
          <rPr>
            <sz val="9"/>
            <color indexed="18"/>
            <rFont val="Calibri"/>
            <family val="2"/>
            <scheme val="minor"/>
          </rPr>
          <t xml:space="preserve">   </t>
        </r>
        <r>
          <rPr>
            <sz val="9"/>
            <color indexed="81"/>
            <rFont val="Calibri"/>
            <family val="2"/>
            <scheme val="minor"/>
          </rPr>
          <t xml:space="preserve">23" monitor,  1920 x 1080 resolution,  125% scaling  
</t>
        </r>
        <r>
          <rPr>
            <sz val="8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Excel</t>
        </r>
        <r>
          <rPr>
            <sz val="9"/>
            <color indexed="18"/>
            <rFont val="Calibri"/>
            <family val="2"/>
            <scheme val="minor"/>
          </rPr>
          <t xml:space="preserve">        </t>
        </r>
        <r>
          <rPr>
            <sz val="9"/>
            <color indexed="81"/>
            <rFont val="Calibri"/>
            <family val="2"/>
            <scheme val="minor"/>
          </rPr>
          <t>For each tab:
                      1. View &gt; Zoom group &gt; click 100%
                      2. View &gt; Show group &gt; uncheck Headings
                      3. View &gt; Show group &gt; uncheck Formula Bar</t>
        </r>
        <r>
          <rPr>
            <sz val="4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Segoe UI Variable Display Semib"/>
          </rPr>
          <t>O</t>
        </r>
        <r>
          <rPr>
            <sz val="8.5"/>
            <color indexed="81"/>
            <rFont val="Segoe UI Variable Display Semib"/>
          </rPr>
          <t xml:space="preserve">UTPUT </t>
        </r>
        <r>
          <rPr>
            <sz val="9"/>
            <color indexed="81"/>
            <rFont val="Segoe UI Variable Display Semib"/>
          </rPr>
          <t>O</t>
        </r>
        <r>
          <rPr>
            <sz val="8.5"/>
            <color indexed="81"/>
            <rFont val="Segoe UI Variable Display Semib"/>
          </rPr>
          <t>PTIONS</t>
        </r>
        <r>
          <rPr>
            <sz val="9.5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Printer</t>
        </r>
        <r>
          <rPr>
            <sz val="9"/>
            <color indexed="18"/>
            <rFont val="Calibri"/>
            <family val="2"/>
            <scheme val="minor"/>
          </rPr>
          <t xml:space="preserve">    </t>
        </r>
        <r>
          <rPr>
            <sz val="9"/>
            <color indexed="81"/>
            <rFont val="Calibri"/>
            <family val="2"/>
            <scheme val="minor"/>
          </rPr>
          <t xml:space="preserve">File &gt; Print
 </t>
        </r>
        <r>
          <rPr>
            <b/>
            <sz val="9"/>
            <color indexed="18"/>
            <rFont val="Calibri"/>
            <family val="2"/>
            <scheme val="minor"/>
          </rPr>
          <t>PDF</t>
        </r>
        <r>
          <rPr>
            <sz val="9"/>
            <color indexed="18"/>
            <rFont val="Calibri"/>
            <family val="2"/>
            <scheme val="minor"/>
          </rPr>
          <t xml:space="preserve">           </t>
        </r>
        <r>
          <rPr>
            <sz val="9"/>
            <color indexed="81"/>
            <rFont val="Calibri"/>
            <family val="2"/>
            <scheme val="minor"/>
          </rPr>
          <t xml:space="preserve">File &gt; Save As &gt; Browse &gt; choose folder &gt; select PDF
</t>
        </r>
        <r>
          <rPr>
            <sz val="4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Segoe UI Variable Display Semib"/>
          </rPr>
          <t>C</t>
        </r>
        <r>
          <rPr>
            <sz val="8.5"/>
            <color indexed="81"/>
            <rFont val="Segoe UI Variable Display Semib"/>
          </rPr>
          <t xml:space="preserve">ELL </t>
        </r>
        <r>
          <rPr>
            <sz val="9"/>
            <color indexed="81"/>
            <rFont val="Segoe UI Variable Display Semib"/>
          </rPr>
          <t>E</t>
        </r>
        <r>
          <rPr>
            <sz val="8.5"/>
            <color indexed="81"/>
            <rFont val="Segoe UI Variable Display Semib"/>
          </rPr>
          <t xml:space="preserve">DITING
</t>
        </r>
        <r>
          <rPr>
            <sz val="9"/>
            <color indexed="81"/>
            <rFont val="Calibri"/>
            <family val="2"/>
            <scheme val="minor"/>
          </rPr>
          <t xml:space="preserve"> User can edit or modify all formula cells</t>
        </r>
        <r>
          <rPr>
            <sz val="8.5"/>
            <color indexed="81"/>
            <rFont val="Segoe UI Variable Display Semib"/>
          </rPr>
          <t xml:space="preserve">
</t>
        </r>
        <r>
          <rPr>
            <sz val="8"/>
            <color indexed="81"/>
            <rFont val="Calibri"/>
            <family val="2"/>
            <scheme val="minor"/>
          </rPr>
          <t xml:space="preserve">
</t>
        </r>
        <r>
          <rPr>
            <sz val="4"/>
            <color indexed="81"/>
            <rFont val="Calibri"/>
            <family val="2"/>
            <scheme val="minor"/>
          </rPr>
          <t xml:space="preserve">                                                                                       </t>
        </r>
        <r>
          <rPr>
            <sz val="9.5"/>
            <color indexed="81"/>
            <rFont val="Calibri"/>
            <family val="2"/>
            <scheme val="minor"/>
          </rPr>
          <t xml:space="preserve">© 2025, </t>
        </r>
        <r>
          <rPr>
            <sz val="12"/>
            <color indexed="18"/>
            <rFont val="Rough Draft"/>
          </rPr>
          <t>E</t>
        </r>
        <r>
          <rPr>
            <sz val="10"/>
            <color indexed="18"/>
            <rFont val="Rough Draft"/>
          </rPr>
          <t>XCEL</t>
        </r>
        <r>
          <rPr>
            <sz val="12"/>
            <color indexed="18"/>
            <rFont val="Rough Draft"/>
          </rPr>
          <t>M</t>
        </r>
        <r>
          <rPr>
            <sz val="10"/>
            <color indexed="18"/>
            <rFont val="Rough Draft"/>
          </rPr>
          <t>ODELS</t>
        </r>
        <r>
          <rPr>
            <sz val="9.5"/>
            <color indexed="81"/>
            <rFont val="Calibri"/>
            <family val="2"/>
            <scheme val="minor"/>
          </rPr>
          <t xml:space="preserve">.com
</t>
        </r>
        <r>
          <rPr>
            <sz val="8"/>
            <color indexed="81"/>
            <rFont val="Calibri"/>
            <family val="2"/>
            <scheme val="minor"/>
          </rPr>
          <t xml:space="preserve">                                       </t>
        </r>
        <r>
          <rPr>
            <sz val="9.5"/>
            <color indexed="81"/>
            <rFont val="Calibri"/>
            <family val="2"/>
            <scheme val="minor"/>
          </rPr>
          <t>info@ExcelModels.com</t>
        </r>
        <r>
          <rPr>
            <sz val="2"/>
            <color indexed="81"/>
            <rFont val="Calibri"/>
            <family val="2"/>
            <scheme val="minor"/>
          </rPr>
          <t xml:space="preserve">
</t>
        </r>
        <r>
          <rPr>
            <i/>
            <sz val="8.5"/>
            <color indexed="81"/>
            <rFont val="Calibri"/>
            <family val="2"/>
            <scheme val="minor"/>
          </rPr>
          <t xml:space="preserve">  T</t>
        </r>
        <r>
          <rPr>
            <i/>
            <sz val="9"/>
            <color indexed="81"/>
            <rFont val="Calibri"/>
            <family val="2"/>
            <scheme val="minor"/>
          </rPr>
          <t>his software is licensed for single-seat, non-transferable use.
    Unauthorized sale, duplication, or distribution is prohibited.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bldig</author>
  </authors>
  <commentList>
    <comment ref="A1" authorId="0" shapeId="0" xr:uid="{FD020944-35C0-456D-86E9-B17EE3647AE8}">
      <text>
        <r>
          <rPr>
            <sz val="9"/>
            <color indexed="81"/>
            <rFont val="Segoe UI Variable Display Semib"/>
          </rPr>
          <t>R</t>
        </r>
        <r>
          <rPr>
            <sz val="8.5"/>
            <color indexed="81"/>
            <rFont val="Segoe UI Variable Display Semib"/>
          </rPr>
          <t xml:space="preserve">ECOMMENDED </t>
        </r>
        <r>
          <rPr>
            <sz val="9"/>
            <color indexed="81"/>
            <rFont val="Segoe UI Variable Display Semib"/>
          </rPr>
          <t>S</t>
        </r>
        <r>
          <rPr>
            <sz val="8.5"/>
            <color indexed="81"/>
            <rFont val="Segoe UI Variable Display Semib"/>
          </rPr>
          <t>ETTINGS</t>
        </r>
        <r>
          <rPr>
            <sz val="8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Display</t>
        </r>
        <r>
          <rPr>
            <sz val="9"/>
            <color indexed="18"/>
            <rFont val="Calibri"/>
            <family val="2"/>
            <scheme val="minor"/>
          </rPr>
          <t xml:space="preserve">   </t>
        </r>
        <r>
          <rPr>
            <sz val="9"/>
            <color indexed="81"/>
            <rFont val="Calibri"/>
            <family val="2"/>
            <scheme val="minor"/>
          </rPr>
          <t xml:space="preserve">23" monitor,  1920 x 1080 resolution,  125% scaling  
</t>
        </r>
        <r>
          <rPr>
            <sz val="8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Excel</t>
        </r>
        <r>
          <rPr>
            <sz val="9"/>
            <color indexed="18"/>
            <rFont val="Calibri"/>
            <family val="2"/>
            <scheme val="minor"/>
          </rPr>
          <t xml:space="preserve">        </t>
        </r>
        <r>
          <rPr>
            <sz val="9"/>
            <color indexed="81"/>
            <rFont val="Calibri"/>
            <family val="2"/>
            <scheme val="minor"/>
          </rPr>
          <t>For each tab:
                      1. View &gt; Zoom group &gt; click 100%
                      2. View &gt; Show group &gt; uncheck Headings
                      3. View &gt; Show group &gt; uncheck Formula Bar</t>
        </r>
        <r>
          <rPr>
            <sz val="4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Segoe UI Variable Display Semib"/>
          </rPr>
          <t>O</t>
        </r>
        <r>
          <rPr>
            <sz val="8.5"/>
            <color indexed="81"/>
            <rFont val="Segoe UI Variable Display Semib"/>
          </rPr>
          <t xml:space="preserve">UTPUT </t>
        </r>
        <r>
          <rPr>
            <sz val="9"/>
            <color indexed="81"/>
            <rFont val="Segoe UI Variable Display Semib"/>
          </rPr>
          <t>O</t>
        </r>
        <r>
          <rPr>
            <sz val="8.5"/>
            <color indexed="81"/>
            <rFont val="Segoe UI Variable Display Semib"/>
          </rPr>
          <t>PTIONS</t>
        </r>
        <r>
          <rPr>
            <sz val="9.5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Printer</t>
        </r>
        <r>
          <rPr>
            <sz val="9"/>
            <color indexed="18"/>
            <rFont val="Calibri"/>
            <family val="2"/>
            <scheme val="minor"/>
          </rPr>
          <t xml:space="preserve">    </t>
        </r>
        <r>
          <rPr>
            <sz val="9"/>
            <color indexed="81"/>
            <rFont val="Calibri"/>
            <family val="2"/>
            <scheme val="minor"/>
          </rPr>
          <t xml:space="preserve">File &gt; Print
 </t>
        </r>
        <r>
          <rPr>
            <b/>
            <sz val="9"/>
            <color indexed="18"/>
            <rFont val="Calibri"/>
            <family val="2"/>
            <scheme val="minor"/>
          </rPr>
          <t>PDF</t>
        </r>
        <r>
          <rPr>
            <sz val="9"/>
            <color indexed="18"/>
            <rFont val="Calibri"/>
            <family val="2"/>
            <scheme val="minor"/>
          </rPr>
          <t xml:space="preserve">           </t>
        </r>
        <r>
          <rPr>
            <sz val="9"/>
            <color indexed="81"/>
            <rFont val="Calibri"/>
            <family val="2"/>
            <scheme val="minor"/>
          </rPr>
          <t xml:space="preserve">File &gt; Save As &gt; Browse &gt; choose folder &gt; select PDF
</t>
        </r>
        <r>
          <rPr>
            <sz val="4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Segoe UI Variable Display Semib"/>
          </rPr>
          <t>C</t>
        </r>
        <r>
          <rPr>
            <sz val="8.5"/>
            <color indexed="81"/>
            <rFont val="Segoe UI Variable Display Semib"/>
          </rPr>
          <t xml:space="preserve">ELL </t>
        </r>
        <r>
          <rPr>
            <sz val="9"/>
            <color indexed="81"/>
            <rFont val="Segoe UI Variable Display Semib"/>
          </rPr>
          <t>E</t>
        </r>
        <r>
          <rPr>
            <sz val="8.5"/>
            <color indexed="81"/>
            <rFont val="Segoe UI Variable Display Semib"/>
          </rPr>
          <t xml:space="preserve">DITING
</t>
        </r>
        <r>
          <rPr>
            <sz val="9"/>
            <color indexed="81"/>
            <rFont val="Calibri"/>
            <family val="2"/>
            <scheme val="minor"/>
          </rPr>
          <t xml:space="preserve"> User can edit or modify all formula cells</t>
        </r>
        <r>
          <rPr>
            <sz val="8.5"/>
            <color indexed="81"/>
            <rFont val="Segoe UI Variable Display Semib"/>
          </rPr>
          <t xml:space="preserve">
</t>
        </r>
        <r>
          <rPr>
            <sz val="8"/>
            <color indexed="81"/>
            <rFont val="Calibri"/>
            <family val="2"/>
            <scheme val="minor"/>
          </rPr>
          <t xml:space="preserve">
</t>
        </r>
        <r>
          <rPr>
            <sz val="4"/>
            <color indexed="81"/>
            <rFont val="Calibri"/>
            <family val="2"/>
            <scheme val="minor"/>
          </rPr>
          <t xml:space="preserve">                                                                                       </t>
        </r>
        <r>
          <rPr>
            <sz val="9.5"/>
            <color indexed="81"/>
            <rFont val="Calibri"/>
            <family val="2"/>
            <scheme val="minor"/>
          </rPr>
          <t xml:space="preserve">© 2025, </t>
        </r>
        <r>
          <rPr>
            <sz val="12"/>
            <color indexed="18"/>
            <rFont val="Rough Draft"/>
          </rPr>
          <t>E</t>
        </r>
        <r>
          <rPr>
            <sz val="10"/>
            <color indexed="18"/>
            <rFont val="Rough Draft"/>
          </rPr>
          <t>XCEL</t>
        </r>
        <r>
          <rPr>
            <sz val="12"/>
            <color indexed="18"/>
            <rFont val="Rough Draft"/>
          </rPr>
          <t>M</t>
        </r>
        <r>
          <rPr>
            <sz val="10"/>
            <color indexed="18"/>
            <rFont val="Rough Draft"/>
          </rPr>
          <t>ODELS</t>
        </r>
        <r>
          <rPr>
            <sz val="9.5"/>
            <color indexed="81"/>
            <rFont val="Calibri"/>
            <family val="2"/>
            <scheme val="minor"/>
          </rPr>
          <t xml:space="preserve">.com
</t>
        </r>
        <r>
          <rPr>
            <sz val="8"/>
            <color indexed="81"/>
            <rFont val="Calibri"/>
            <family val="2"/>
            <scheme val="minor"/>
          </rPr>
          <t xml:space="preserve">                                       </t>
        </r>
        <r>
          <rPr>
            <sz val="9.5"/>
            <color indexed="81"/>
            <rFont val="Calibri"/>
            <family val="2"/>
            <scheme val="minor"/>
          </rPr>
          <t>info@ExcelModels.com</t>
        </r>
        <r>
          <rPr>
            <sz val="2"/>
            <color indexed="81"/>
            <rFont val="Calibri"/>
            <family val="2"/>
            <scheme val="minor"/>
          </rPr>
          <t xml:space="preserve">
</t>
        </r>
        <r>
          <rPr>
            <i/>
            <sz val="8.5"/>
            <color indexed="81"/>
            <rFont val="Calibri"/>
            <family val="2"/>
            <scheme val="minor"/>
          </rPr>
          <t xml:space="preserve">  T</t>
        </r>
        <r>
          <rPr>
            <i/>
            <sz val="9"/>
            <color indexed="81"/>
            <rFont val="Calibri"/>
            <family val="2"/>
            <scheme val="minor"/>
          </rPr>
          <t>his software is licensed for single-seat, non-transferable use.
    Unauthorized sale, duplication, or distribution is prohibited.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bldig</author>
  </authors>
  <commentList>
    <comment ref="A1" authorId="0" shapeId="0" xr:uid="{80FDE235-D035-4B2A-8A83-1653AE21431D}">
      <text>
        <r>
          <rPr>
            <sz val="9"/>
            <color indexed="81"/>
            <rFont val="Segoe UI Variable Display Semib"/>
          </rPr>
          <t>R</t>
        </r>
        <r>
          <rPr>
            <sz val="8.5"/>
            <color indexed="81"/>
            <rFont val="Segoe UI Variable Display Semib"/>
          </rPr>
          <t xml:space="preserve">ECOMMENDED </t>
        </r>
        <r>
          <rPr>
            <sz val="9"/>
            <color indexed="81"/>
            <rFont val="Segoe UI Variable Display Semib"/>
          </rPr>
          <t>S</t>
        </r>
        <r>
          <rPr>
            <sz val="8.5"/>
            <color indexed="81"/>
            <rFont val="Segoe UI Variable Display Semib"/>
          </rPr>
          <t>ETTINGS</t>
        </r>
        <r>
          <rPr>
            <sz val="8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Display</t>
        </r>
        <r>
          <rPr>
            <sz val="9"/>
            <color indexed="18"/>
            <rFont val="Calibri"/>
            <family val="2"/>
            <scheme val="minor"/>
          </rPr>
          <t xml:space="preserve">   </t>
        </r>
        <r>
          <rPr>
            <sz val="9"/>
            <color indexed="81"/>
            <rFont val="Calibri"/>
            <family val="2"/>
            <scheme val="minor"/>
          </rPr>
          <t xml:space="preserve">23" monitor,  1920 x 1080 resolution,  125% scaling  
</t>
        </r>
        <r>
          <rPr>
            <sz val="8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Excel</t>
        </r>
        <r>
          <rPr>
            <sz val="9"/>
            <color indexed="18"/>
            <rFont val="Calibri"/>
            <family val="2"/>
            <scheme val="minor"/>
          </rPr>
          <t xml:space="preserve">        </t>
        </r>
        <r>
          <rPr>
            <sz val="9"/>
            <color indexed="81"/>
            <rFont val="Calibri"/>
            <family val="2"/>
            <scheme val="minor"/>
          </rPr>
          <t>For each tab:
                      1. View &gt; Zoom group &gt; click 100%
                      2. View &gt; Show group &gt; uncheck Headings
                      3. View &gt; Show group &gt; uncheck Formula Bar</t>
        </r>
        <r>
          <rPr>
            <sz val="4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Segoe UI Variable Display Semib"/>
          </rPr>
          <t>O</t>
        </r>
        <r>
          <rPr>
            <sz val="8.5"/>
            <color indexed="81"/>
            <rFont val="Segoe UI Variable Display Semib"/>
          </rPr>
          <t xml:space="preserve">UTPUT </t>
        </r>
        <r>
          <rPr>
            <sz val="9"/>
            <color indexed="81"/>
            <rFont val="Segoe UI Variable Display Semib"/>
          </rPr>
          <t>O</t>
        </r>
        <r>
          <rPr>
            <sz val="8.5"/>
            <color indexed="81"/>
            <rFont val="Segoe UI Variable Display Semib"/>
          </rPr>
          <t>PTIONS</t>
        </r>
        <r>
          <rPr>
            <sz val="9.5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Printer</t>
        </r>
        <r>
          <rPr>
            <sz val="9"/>
            <color indexed="18"/>
            <rFont val="Calibri"/>
            <family val="2"/>
            <scheme val="minor"/>
          </rPr>
          <t xml:space="preserve">    </t>
        </r>
        <r>
          <rPr>
            <sz val="9"/>
            <color indexed="81"/>
            <rFont val="Calibri"/>
            <family val="2"/>
            <scheme val="minor"/>
          </rPr>
          <t xml:space="preserve">File &gt; Print
 </t>
        </r>
        <r>
          <rPr>
            <b/>
            <sz val="9"/>
            <color indexed="18"/>
            <rFont val="Calibri"/>
            <family val="2"/>
            <scheme val="minor"/>
          </rPr>
          <t>PDF</t>
        </r>
        <r>
          <rPr>
            <sz val="9"/>
            <color indexed="18"/>
            <rFont val="Calibri"/>
            <family val="2"/>
            <scheme val="minor"/>
          </rPr>
          <t xml:space="preserve">           </t>
        </r>
        <r>
          <rPr>
            <sz val="9"/>
            <color indexed="81"/>
            <rFont val="Calibri"/>
            <family val="2"/>
            <scheme val="minor"/>
          </rPr>
          <t xml:space="preserve">File &gt; Save As &gt; Browse &gt; choose folder &gt; select PDF
</t>
        </r>
        <r>
          <rPr>
            <sz val="4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Segoe UI Variable Display Semib"/>
          </rPr>
          <t>C</t>
        </r>
        <r>
          <rPr>
            <sz val="8.5"/>
            <color indexed="81"/>
            <rFont val="Segoe UI Variable Display Semib"/>
          </rPr>
          <t xml:space="preserve">ELL </t>
        </r>
        <r>
          <rPr>
            <sz val="9"/>
            <color indexed="81"/>
            <rFont val="Segoe UI Variable Display Semib"/>
          </rPr>
          <t>E</t>
        </r>
        <r>
          <rPr>
            <sz val="8.5"/>
            <color indexed="81"/>
            <rFont val="Segoe UI Variable Display Semib"/>
          </rPr>
          <t xml:space="preserve">DITING
</t>
        </r>
        <r>
          <rPr>
            <sz val="9"/>
            <color indexed="81"/>
            <rFont val="Calibri"/>
            <family val="2"/>
            <scheme val="minor"/>
          </rPr>
          <t xml:space="preserve"> User can edit or modify all formula cells</t>
        </r>
        <r>
          <rPr>
            <sz val="8.5"/>
            <color indexed="81"/>
            <rFont val="Segoe UI Variable Display Semib"/>
          </rPr>
          <t xml:space="preserve">
</t>
        </r>
        <r>
          <rPr>
            <sz val="8"/>
            <color indexed="81"/>
            <rFont val="Calibri"/>
            <family val="2"/>
            <scheme val="minor"/>
          </rPr>
          <t xml:space="preserve">
</t>
        </r>
        <r>
          <rPr>
            <sz val="4"/>
            <color indexed="81"/>
            <rFont val="Calibri"/>
            <family val="2"/>
            <scheme val="minor"/>
          </rPr>
          <t xml:space="preserve">                                                                                       </t>
        </r>
        <r>
          <rPr>
            <sz val="9.5"/>
            <color indexed="81"/>
            <rFont val="Calibri"/>
            <family val="2"/>
            <scheme val="minor"/>
          </rPr>
          <t xml:space="preserve">© 2025, </t>
        </r>
        <r>
          <rPr>
            <sz val="12"/>
            <color indexed="18"/>
            <rFont val="Rough Draft"/>
          </rPr>
          <t>E</t>
        </r>
        <r>
          <rPr>
            <sz val="10"/>
            <color indexed="18"/>
            <rFont val="Rough Draft"/>
          </rPr>
          <t>XCEL</t>
        </r>
        <r>
          <rPr>
            <sz val="12"/>
            <color indexed="18"/>
            <rFont val="Rough Draft"/>
          </rPr>
          <t>M</t>
        </r>
        <r>
          <rPr>
            <sz val="10"/>
            <color indexed="18"/>
            <rFont val="Rough Draft"/>
          </rPr>
          <t>ODELS</t>
        </r>
        <r>
          <rPr>
            <sz val="9.5"/>
            <color indexed="81"/>
            <rFont val="Calibri"/>
            <family val="2"/>
            <scheme val="minor"/>
          </rPr>
          <t xml:space="preserve">.com
</t>
        </r>
        <r>
          <rPr>
            <sz val="8"/>
            <color indexed="81"/>
            <rFont val="Calibri"/>
            <family val="2"/>
            <scheme val="minor"/>
          </rPr>
          <t xml:space="preserve">                                       </t>
        </r>
        <r>
          <rPr>
            <sz val="9.5"/>
            <color indexed="81"/>
            <rFont val="Calibri"/>
            <family val="2"/>
            <scheme val="minor"/>
          </rPr>
          <t>info@ExcelModels.com</t>
        </r>
        <r>
          <rPr>
            <sz val="2"/>
            <color indexed="81"/>
            <rFont val="Calibri"/>
            <family val="2"/>
            <scheme val="minor"/>
          </rPr>
          <t xml:space="preserve">
</t>
        </r>
        <r>
          <rPr>
            <i/>
            <sz val="8.5"/>
            <color indexed="81"/>
            <rFont val="Calibri"/>
            <family val="2"/>
            <scheme val="minor"/>
          </rPr>
          <t xml:space="preserve">  T</t>
        </r>
        <r>
          <rPr>
            <i/>
            <sz val="9"/>
            <color indexed="81"/>
            <rFont val="Calibri"/>
            <family val="2"/>
            <scheme val="minor"/>
          </rPr>
          <t>his software is licensed for single-seat, non-transferable use.
    Unauthorized sale, duplication, or distribution is prohibited.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bldig</author>
  </authors>
  <commentList>
    <comment ref="A1" authorId="0" shapeId="0" xr:uid="{6791900F-58F2-43DC-8E4B-6C821358DF40}">
      <text>
        <r>
          <rPr>
            <sz val="9"/>
            <color indexed="81"/>
            <rFont val="Segoe UI Variable Display Semib"/>
          </rPr>
          <t>R</t>
        </r>
        <r>
          <rPr>
            <sz val="8.5"/>
            <color indexed="81"/>
            <rFont val="Segoe UI Variable Display Semib"/>
          </rPr>
          <t xml:space="preserve">ECOMMENDED </t>
        </r>
        <r>
          <rPr>
            <sz val="9"/>
            <color indexed="81"/>
            <rFont val="Segoe UI Variable Display Semib"/>
          </rPr>
          <t>S</t>
        </r>
        <r>
          <rPr>
            <sz val="8.5"/>
            <color indexed="81"/>
            <rFont val="Segoe UI Variable Display Semib"/>
          </rPr>
          <t>ETTINGS</t>
        </r>
        <r>
          <rPr>
            <sz val="8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Display</t>
        </r>
        <r>
          <rPr>
            <sz val="9"/>
            <color indexed="18"/>
            <rFont val="Calibri"/>
            <family val="2"/>
            <scheme val="minor"/>
          </rPr>
          <t xml:space="preserve">   </t>
        </r>
        <r>
          <rPr>
            <sz val="9"/>
            <color indexed="81"/>
            <rFont val="Calibri"/>
            <family val="2"/>
            <scheme val="minor"/>
          </rPr>
          <t xml:space="preserve">23" monitor,  1920 x 1080 resolution,  125% scaling  
</t>
        </r>
        <r>
          <rPr>
            <sz val="8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Excel</t>
        </r>
        <r>
          <rPr>
            <sz val="9"/>
            <color indexed="18"/>
            <rFont val="Calibri"/>
            <family val="2"/>
            <scheme val="minor"/>
          </rPr>
          <t xml:space="preserve">        </t>
        </r>
        <r>
          <rPr>
            <sz val="9"/>
            <color indexed="81"/>
            <rFont val="Calibri"/>
            <family val="2"/>
            <scheme val="minor"/>
          </rPr>
          <t>For each tab:
                      1. View &gt; Zoom group &gt; click 100%
                      2. View &gt; Show group &gt; uncheck Headings
                      3. View &gt; Show group &gt; uncheck Formula Bar</t>
        </r>
        <r>
          <rPr>
            <sz val="4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Segoe UI Variable Display Semib"/>
          </rPr>
          <t>O</t>
        </r>
        <r>
          <rPr>
            <sz val="8.5"/>
            <color indexed="81"/>
            <rFont val="Segoe UI Variable Display Semib"/>
          </rPr>
          <t xml:space="preserve">UTPUT </t>
        </r>
        <r>
          <rPr>
            <sz val="9"/>
            <color indexed="81"/>
            <rFont val="Segoe UI Variable Display Semib"/>
          </rPr>
          <t>O</t>
        </r>
        <r>
          <rPr>
            <sz val="8.5"/>
            <color indexed="81"/>
            <rFont val="Segoe UI Variable Display Semib"/>
          </rPr>
          <t>PTIONS</t>
        </r>
        <r>
          <rPr>
            <sz val="9.5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Printer</t>
        </r>
        <r>
          <rPr>
            <sz val="9"/>
            <color indexed="18"/>
            <rFont val="Calibri"/>
            <family val="2"/>
            <scheme val="minor"/>
          </rPr>
          <t xml:space="preserve">    </t>
        </r>
        <r>
          <rPr>
            <sz val="9"/>
            <color indexed="81"/>
            <rFont val="Calibri"/>
            <family val="2"/>
            <scheme val="minor"/>
          </rPr>
          <t xml:space="preserve">File &gt; Print
 </t>
        </r>
        <r>
          <rPr>
            <b/>
            <sz val="9"/>
            <color indexed="18"/>
            <rFont val="Calibri"/>
            <family val="2"/>
            <scheme val="minor"/>
          </rPr>
          <t>PDF</t>
        </r>
        <r>
          <rPr>
            <sz val="9"/>
            <color indexed="18"/>
            <rFont val="Calibri"/>
            <family val="2"/>
            <scheme val="minor"/>
          </rPr>
          <t xml:space="preserve">           </t>
        </r>
        <r>
          <rPr>
            <sz val="9"/>
            <color indexed="81"/>
            <rFont val="Calibri"/>
            <family val="2"/>
            <scheme val="minor"/>
          </rPr>
          <t xml:space="preserve">File &gt; Save As &gt; Browse &gt; choose folder &gt; select PDF
</t>
        </r>
        <r>
          <rPr>
            <sz val="4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Segoe UI Variable Display Semib"/>
          </rPr>
          <t>C</t>
        </r>
        <r>
          <rPr>
            <sz val="8.5"/>
            <color indexed="81"/>
            <rFont val="Segoe UI Variable Display Semib"/>
          </rPr>
          <t xml:space="preserve">ELL </t>
        </r>
        <r>
          <rPr>
            <sz val="9"/>
            <color indexed="81"/>
            <rFont val="Segoe UI Variable Display Semib"/>
          </rPr>
          <t>E</t>
        </r>
        <r>
          <rPr>
            <sz val="8.5"/>
            <color indexed="81"/>
            <rFont val="Segoe UI Variable Display Semib"/>
          </rPr>
          <t xml:space="preserve">DITING
</t>
        </r>
        <r>
          <rPr>
            <sz val="9"/>
            <color indexed="81"/>
            <rFont val="Calibri"/>
            <family val="2"/>
            <scheme val="minor"/>
          </rPr>
          <t xml:space="preserve"> User can edit or modify all formula cells</t>
        </r>
        <r>
          <rPr>
            <sz val="8.5"/>
            <color indexed="81"/>
            <rFont val="Segoe UI Variable Display Semib"/>
          </rPr>
          <t xml:space="preserve">
</t>
        </r>
        <r>
          <rPr>
            <sz val="8"/>
            <color indexed="81"/>
            <rFont val="Calibri"/>
            <family val="2"/>
            <scheme val="minor"/>
          </rPr>
          <t xml:space="preserve">
</t>
        </r>
        <r>
          <rPr>
            <sz val="4"/>
            <color indexed="81"/>
            <rFont val="Calibri"/>
            <family val="2"/>
            <scheme val="minor"/>
          </rPr>
          <t xml:space="preserve">                                                                                       </t>
        </r>
        <r>
          <rPr>
            <sz val="9.5"/>
            <color indexed="81"/>
            <rFont val="Calibri"/>
            <family val="2"/>
            <scheme val="minor"/>
          </rPr>
          <t xml:space="preserve">© 2025, </t>
        </r>
        <r>
          <rPr>
            <sz val="12"/>
            <color indexed="18"/>
            <rFont val="Rough Draft"/>
          </rPr>
          <t>E</t>
        </r>
        <r>
          <rPr>
            <sz val="10"/>
            <color indexed="18"/>
            <rFont val="Rough Draft"/>
          </rPr>
          <t>XCEL</t>
        </r>
        <r>
          <rPr>
            <sz val="12"/>
            <color indexed="18"/>
            <rFont val="Rough Draft"/>
          </rPr>
          <t>M</t>
        </r>
        <r>
          <rPr>
            <sz val="10"/>
            <color indexed="18"/>
            <rFont val="Rough Draft"/>
          </rPr>
          <t>ODELS</t>
        </r>
        <r>
          <rPr>
            <sz val="9.5"/>
            <color indexed="81"/>
            <rFont val="Calibri"/>
            <family val="2"/>
            <scheme val="minor"/>
          </rPr>
          <t xml:space="preserve">.com
</t>
        </r>
        <r>
          <rPr>
            <sz val="8"/>
            <color indexed="81"/>
            <rFont val="Calibri"/>
            <family val="2"/>
            <scheme val="minor"/>
          </rPr>
          <t xml:space="preserve">                                       </t>
        </r>
        <r>
          <rPr>
            <sz val="9.5"/>
            <color indexed="81"/>
            <rFont val="Calibri"/>
            <family val="2"/>
            <scheme val="minor"/>
          </rPr>
          <t>info@ExcelModels.com</t>
        </r>
        <r>
          <rPr>
            <sz val="2"/>
            <color indexed="81"/>
            <rFont val="Calibri"/>
            <family val="2"/>
            <scheme val="minor"/>
          </rPr>
          <t xml:space="preserve">
</t>
        </r>
        <r>
          <rPr>
            <i/>
            <sz val="8.5"/>
            <color indexed="81"/>
            <rFont val="Calibri"/>
            <family val="2"/>
            <scheme val="minor"/>
          </rPr>
          <t xml:space="preserve">  T</t>
        </r>
        <r>
          <rPr>
            <i/>
            <sz val="9"/>
            <color indexed="81"/>
            <rFont val="Calibri"/>
            <family val="2"/>
            <scheme val="minor"/>
          </rPr>
          <t>his software is licensed for single-seat, non-transferable use.
    Unauthorized sale, duplication, or distribution is prohibited.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bldig</author>
  </authors>
  <commentList>
    <comment ref="A1" authorId="0" shapeId="0" xr:uid="{ED97DD92-0A5B-40B0-B9FB-CABA3A46C9C2}">
      <text>
        <r>
          <rPr>
            <sz val="9"/>
            <color indexed="81"/>
            <rFont val="Segoe UI Variable Display Semib"/>
          </rPr>
          <t>R</t>
        </r>
        <r>
          <rPr>
            <sz val="8.5"/>
            <color indexed="81"/>
            <rFont val="Segoe UI Variable Display Semib"/>
          </rPr>
          <t xml:space="preserve">ECOMMENDED </t>
        </r>
        <r>
          <rPr>
            <sz val="9"/>
            <color indexed="81"/>
            <rFont val="Segoe UI Variable Display Semib"/>
          </rPr>
          <t>S</t>
        </r>
        <r>
          <rPr>
            <sz val="8.5"/>
            <color indexed="81"/>
            <rFont val="Segoe UI Variable Display Semib"/>
          </rPr>
          <t>ETTINGS</t>
        </r>
        <r>
          <rPr>
            <sz val="8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Display</t>
        </r>
        <r>
          <rPr>
            <sz val="9"/>
            <color indexed="18"/>
            <rFont val="Calibri"/>
            <family val="2"/>
            <scheme val="minor"/>
          </rPr>
          <t xml:space="preserve">   </t>
        </r>
        <r>
          <rPr>
            <sz val="9"/>
            <color indexed="81"/>
            <rFont val="Calibri"/>
            <family val="2"/>
            <scheme val="minor"/>
          </rPr>
          <t xml:space="preserve">23" monitor,  1920 x 1080 resolution,  125% scaling  
</t>
        </r>
        <r>
          <rPr>
            <sz val="8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Excel</t>
        </r>
        <r>
          <rPr>
            <sz val="9"/>
            <color indexed="18"/>
            <rFont val="Calibri"/>
            <family val="2"/>
            <scheme val="minor"/>
          </rPr>
          <t xml:space="preserve">        </t>
        </r>
        <r>
          <rPr>
            <sz val="9"/>
            <color indexed="81"/>
            <rFont val="Calibri"/>
            <family val="2"/>
            <scheme val="minor"/>
          </rPr>
          <t>For each tab:
                      1. View &gt; Zoom group &gt; click 100%
                      2. View &gt; Show group &gt; uncheck Headings
                      3. View &gt; Show group &gt; uncheck Formula Bar</t>
        </r>
        <r>
          <rPr>
            <sz val="4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Segoe UI Variable Display Semib"/>
          </rPr>
          <t>O</t>
        </r>
        <r>
          <rPr>
            <sz val="8.5"/>
            <color indexed="81"/>
            <rFont val="Segoe UI Variable Display Semib"/>
          </rPr>
          <t xml:space="preserve">UTPUT </t>
        </r>
        <r>
          <rPr>
            <sz val="9"/>
            <color indexed="81"/>
            <rFont val="Segoe UI Variable Display Semib"/>
          </rPr>
          <t>O</t>
        </r>
        <r>
          <rPr>
            <sz val="8.5"/>
            <color indexed="81"/>
            <rFont val="Segoe UI Variable Display Semib"/>
          </rPr>
          <t>PTIONS</t>
        </r>
        <r>
          <rPr>
            <sz val="9.5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Printer</t>
        </r>
        <r>
          <rPr>
            <sz val="9"/>
            <color indexed="18"/>
            <rFont val="Calibri"/>
            <family val="2"/>
            <scheme val="minor"/>
          </rPr>
          <t xml:space="preserve">    </t>
        </r>
        <r>
          <rPr>
            <sz val="9"/>
            <color indexed="81"/>
            <rFont val="Calibri"/>
            <family val="2"/>
            <scheme val="minor"/>
          </rPr>
          <t xml:space="preserve">File &gt; Print
 </t>
        </r>
        <r>
          <rPr>
            <b/>
            <sz val="9"/>
            <color indexed="18"/>
            <rFont val="Calibri"/>
            <family val="2"/>
            <scheme val="minor"/>
          </rPr>
          <t>PDF</t>
        </r>
        <r>
          <rPr>
            <sz val="9"/>
            <color indexed="18"/>
            <rFont val="Calibri"/>
            <family val="2"/>
            <scheme val="minor"/>
          </rPr>
          <t xml:space="preserve">           </t>
        </r>
        <r>
          <rPr>
            <sz val="9"/>
            <color indexed="81"/>
            <rFont val="Calibri"/>
            <family val="2"/>
            <scheme val="minor"/>
          </rPr>
          <t xml:space="preserve">File &gt; Save As &gt; Browse &gt; choose folder &gt; select PDF
</t>
        </r>
        <r>
          <rPr>
            <sz val="4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Segoe UI Variable Display Semib"/>
          </rPr>
          <t>C</t>
        </r>
        <r>
          <rPr>
            <sz val="8.5"/>
            <color indexed="81"/>
            <rFont val="Segoe UI Variable Display Semib"/>
          </rPr>
          <t xml:space="preserve">ELL </t>
        </r>
        <r>
          <rPr>
            <sz val="9"/>
            <color indexed="81"/>
            <rFont val="Segoe UI Variable Display Semib"/>
          </rPr>
          <t>E</t>
        </r>
        <r>
          <rPr>
            <sz val="8.5"/>
            <color indexed="81"/>
            <rFont val="Segoe UI Variable Display Semib"/>
          </rPr>
          <t xml:space="preserve">DITING
</t>
        </r>
        <r>
          <rPr>
            <sz val="9"/>
            <color indexed="81"/>
            <rFont val="Calibri"/>
            <family val="2"/>
            <scheme val="minor"/>
          </rPr>
          <t xml:space="preserve"> User can edit or modify all formula cells</t>
        </r>
        <r>
          <rPr>
            <sz val="8.5"/>
            <color indexed="81"/>
            <rFont val="Segoe UI Variable Display Semib"/>
          </rPr>
          <t xml:space="preserve">
</t>
        </r>
        <r>
          <rPr>
            <sz val="8"/>
            <color indexed="81"/>
            <rFont val="Calibri"/>
            <family val="2"/>
            <scheme val="minor"/>
          </rPr>
          <t xml:space="preserve">
</t>
        </r>
        <r>
          <rPr>
            <sz val="4"/>
            <color indexed="81"/>
            <rFont val="Calibri"/>
            <family val="2"/>
            <scheme val="minor"/>
          </rPr>
          <t xml:space="preserve">                                                                                       </t>
        </r>
        <r>
          <rPr>
            <sz val="9.5"/>
            <color indexed="81"/>
            <rFont val="Calibri"/>
            <family val="2"/>
            <scheme val="minor"/>
          </rPr>
          <t xml:space="preserve">© 2025, </t>
        </r>
        <r>
          <rPr>
            <sz val="12"/>
            <color indexed="18"/>
            <rFont val="Rough Draft"/>
          </rPr>
          <t>E</t>
        </r>
        <r>
          <rPr>
            <sz val="10"/>
            <color indexed="18"/>
            <rFont val="Rough Draft"/>
          </rPr>
          <t>XCEL</t>
        </r>
        <r>
          <rPr>
            <sz val="12"/>
            <color indexed="18"/>
            <rFont val="Rough Draft"/>
          </rPr>
          <t>M</t>
        </r>
        <r>
          <rPr>
            <sz val="10"/>
            <color indexed="18"/>
            <rFont val="Rough Draft"/>
          </rPr>
          <t>ODELS</t>
        </r>
        <r>
          <rPr>
            <sz val="9.5"/>
            <color indexed="81"/>
            <rFont val="Calibri"/>
            <family val="2"/>
            <scheme val="minor"/>
          </rPr>
          <t xml:space="preserve">.com
</t>
        </r>
        <r>
          <rPr>
            <sz val="8"/>
            <color indexed="81"/>
            <rFont val="Calibri"/>
            <family val="2"/>
            <scheme val="minor"/>
          </rPr>
          <t xml:space="preserve">                                       </t>
        </r>
        <r>
          <rPr>
            <sz val="9.5"/>
            <color indexed="81"/>
            <rFont val="Calibri"/>
            <family val="2"/>
            <scheme val="minor"/>
          </rPr>
          <t>info@ExcelModels.com</t>
        </r>
        <r>
          <rPr>
            <sz val="2"/>
            <color indexed="81"/>
            <rFont val="Calibri"/>
            <family val="2"/>
            <scheme val="minor"/>
          </rPr>
          <t xml:space="preserve">
</t>
        </r>
        <r>
          <rPr>
            <i/>
            <sz val="8.5"/>
            <color indexed="81"/>
            <rFont val="Calibri"/>
            <family val="2"/>
            <scheme val="minor"/>
          </rPr>
          <t xml:space="preserve">  T</t>
        </r>
        <r>
          <rPr>
            <i/>
            <sz val="9"/>
            <color indexed="81"/>
            <rFont val="Calibri"/>
            <family val="2"/>
            <scheme val="minor"/>
          </rPr>
          <t>his software is licensed for single-seat, non-transferable use.
    Unauthorized sale, duplication, or distribution is prohibited.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bldig</author>
  </authors>
  <commentList>
    <comment ref="A1" authorId="0" shapeId="0" xr:uid="{447FBDC1-3F75-440E-B756-5C32BC83CC5A}">
      <text>
        <r>
          <rPr>
            <sz val="9"/>
            <color indexed="81"/>
            <rFont val="Segoe UI Variable Display Semib"/>
          </rPr>
          <t>R</t>
        </r>
        <r>
          <rPr>
            <sz val="8.5"/>
            <color indexed="81"/>
            <rFont val="Segoe UI Variable Display Semib"/>
          </rPr>
          <t xml:space="preserve">ECOMMENDED </t>
        </r>
        <r>
          <rPr>
            <sz val="9"/>
            <color indexed="81"/>
            <rFont val="Segoe UI Variable Display Semib"/>
          </rPr>
          <t>S</t>
        </r>
        <r>
          <rPr>
            <sz val="8.5"/>
            <color indexed="81"/>
            <rFont val="Segoe UI Variable Display Semib"/>
          </rPr>
          <t>ETTINGS</t>
        </r>
        <r>
          <rPr>
            <sz val="8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Display</t>
        </r>
        <r>
          <rPr>
            <sz val="9"/>
            <color indexed="18"/>
            <rFont val="Calibri"/>
            <family val="2"/>
            <scheme val="minor"/>
          </rPr>
          <t xml:space="preserve">   </t>
        </r>
        <r>
          <rPr>
            <sz val="9"/>
            <color indexed="81"/>
            <rFont val="Calibri"/>
            <family val="2"/>
            <scheme val="minor"/>
          </rPr>
          <t xml:space="preserve">23" monitor,  1920 x 1080 resolution,  125% scaling  
</t>
        </r>
        <r>
          <rPr>
            <sz val="8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Excel</t>
        </r>
        <r>
          <rPr>
            <sz val="9"/>
            <color indexed="18"/>
            <rFont val="Calibri"/>
            <family val="2"/>
            <scheme val="minor"/>
          </rPr>
          <t xml:space="preserve">        </t>
        </r>
        <r>
          <rPr>
            <sz val="9"/>
            <color indexed="81"/>
            <rFont val="Calibri"/>
            <family val="2"/>
            <scheme val="minor"/>
          </rPr>
          <t>For each tab:
                      1. View &gt; Zoom group &gt; click 100%
                      2. View &gt; Show group &gt; uncheck Headings
                      3. View &gt; Show group &gt; uncheck Formula Bar</t>
        </r>
        <r>
          <rPr>
            <sz val="4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Segoe UI Variable Display Semib"/>
          </rPr>
          <t>O</t>
        </r>
        <r>
          <rPr>
            <sz val="8.5"/>
            <color indexed="81"/>
            <rFont val="Segoe UI Variable Display Semib"/>
          </rPr>
          <t xml:space="preserve">UTPUT </t>
        </r>
        <r>
          <rPr>
            <sz val="9"/>
            <color indexed="81"/>
            <rFont val="Segoe UI Variable Display Semib"/>
          </rPr>
          <t>O</t>
        </r>
        <r>
          <rPr>
            <sz val="8.5"/>
            <color indexed="81"/>
            <rFont val="Segoe UI Variable Display Semib"/>
          </rPr>
          <t>PTIONS</t>
        </r>
        <r>
          <rPr>
            <sz val="9.5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Printer</t>
        </r>
        <r>
          <rPr>
            <sz val="9"/>
            <color indexed="18"/>
            <rFont val="Calibri"/>
            <family val="2"/>
            <scheme val="minor"/>
          </rPr>
          <t xml:space="preserve">    </t>
        </r>
        <r>
          <rPr>
            <sz val="9"/>
            <color indexed="81"/>
            <rFont val="Calibri"/>
            <family val="2"/>
            <scheme val="minor"/>
          </rPr>
          <t xml:space="preserve">File &gt; Print
 </t>
        </r>
        <r>
          <rPr>
            <b/>
            <sz val="9"/>
            <color indexed="18"/>
            <rFont val="Calibri"/>
            <family val="2"/>
            <scheme val="minor"/>
          </rPr>
          <t>PDF</t>
        </r>
        <r>
          <rPr>
            <sz val="9"/>
            <color indexed="18"/>
            <rFont val="Calibri"/>
            <family val="2"/>
            <scheme val="minor"/>
          </rPr>
          <t xml:space="preserve">           </t>
        </r>
        <r>
          <rPr>
            <sz val="9"/>
            <color indexed="81"/>
            <rFont val="Calibri"/>
            <family val="2"/>
            <scheme val="minor"/>
          </rPr>
          <t xml:space="preserve">File &gt; Save As &gt; Browse &gt; choose folder &gt; select PDF
</t>
        </r>
        <r>
          <rPr>
            <sz val="4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Segoe UI Variable Display Semib"/>
          </rPr>
          <t>C</t>
        </r>
        <r>
          <rPr>
            <sz val="8.5"/>
            <color indexed="81"/>
            <rFont val="Segoe UI Variable Display Semib"/>
          </rPr>
          <t xml:space="preserve">ELL </t>
        </r>
        <r>
          <rPr>
            <sz val="9"/>
            <color indexed="81"/>
            <rFont val="Segoe UI Variable Display Semib"/>
          </rPr>
          <t>E</t>
        </r>
        <r>
          <rPr>
            <sz val="8.5"/>
            <color indexed="81"/>
            <rFont val="Segoe UI Variable Display Semib"/>
          </rPr>
          <t xml:space="preserve">DITING
</t>
        </r>
        <r>
          <rPr>
            <sz val="9"/>
            <color indexed="81"/>
            <rFont val="Calibri"/>
            <family val="2"/>
            <scheme val="minor"/>
          </rPr>
          <t xml:space="preserve"> User can edit or modify all formula cells</t>
        </r>
        <r>
          <rPr>
            <sz val="8.5"/>
            <color indexed="81"/>
            <rFont val="Segoe UI Variable Display Semib"/>
          </rPr>
          <t xml:space="preserve">
</t>
        </r>
        <r>
          <rPr>
            <sz val="8"/>
            <color indexed="81"/>
            <rFont val="Calibri"/>
            <family val="2"/>
            <scheme val="minor"/>
          </rPr>
          <t xml:space="preserve">
</t>
        </r>
        <r>
          <rPr>
            <sz val="4"/>
            <color indexed="81"/>
            <rFont val="Calibri"/>
            <family val="2"/>
            <scheme val="minor"/>
          </rPr>
          <t xml:space="preserve">                                                                                       </t>
        </r>
        <r>
          <rPr>
            <sz val="9.5"/>
            <color indexed="81"/>
            <rFont val="Calibri"/>
            <family val="2"/>
            <scheme val="minor"/>
          </rPr>
          <t xml:space="preserve">© 2025, </t>
        </r>
        <r>
          <rPr>
            <sz val="12"/>
            <color indexed="18"/>
            <rFont val="Rough Draft"/>
          </rPr>
          <t>E</t>
        </r>
        <r>
          <rPr>
            <sz val="10"/>
            <color indexed="18"/>
            <rFont val="Rough Draft"/>
          </rPr>
          <t>XCEL</t>
        </r>
        <r>
          <rPr>
            <sz val="12"/>
            <color indexed="18"/>
            <rFont val="Rough Draft"/>
          </rPr>
          <t>M</t>
        </r>
        <r>
          <rPr>
            <sz val="10"/>
            <color indexed="18"/>
            <rFont val="Rough Draft"/>
          </rPr>
          <t>ODELS</t>
        </r>
        <r>
          <rPr>
            <sz val="9.5"/>
            <color indexed="81"/>
            <rFont val="Calibri"/>
            <family val="2"/>
            <scheme val="minor"/>
          </rPr>
          <t xml:space="preserve">.com
</t>
        </r>
        <r>
          <rPr>
            <sz val="8"/>
            <color indexed="81"/>
            <rFont val="Calibri"/>
            <family val="2"/>
            <scheme val="minor"/>
          </rPr>
          <t xml:space="preserve">                                       </t>
        </r>
        <r>
          <rPr>
            <sz val="9.5"/>
            <color indexed="81"/>
            <rFont val="Calibri"/>
            <family val="2"/>
            <scheme val="minor"/>
          </rPr>
          <t>info@ExcelModels.com</t>
        </r>
        <r>
          <rPr>
            <sz val="2"/>
            <color indexed="81"/>
            <rFont val="Calibri"/>
            <family val="2"/>
            <scheme val="minor"/>
          </rPr>
          <t xml:space="preserve">
</t>
        </r>
        <r>
          <rPr>
            <i/>
            <sz val="8.5"/>
            <color indexed="81"/>
            <rFont val="Calibri"/>
            <family val="2"/>
            <scheme val="minor"/>
          </rPr>
          <t xml:space="preserve">  T</t>
        </r>
        <r>
          <rPr>
            <i/>
            <sz val="9"/>
            <color indexed="81"/>
            <rFont val="Calibri"/>
            <family val="2"/>
            <scheme val="minor"/>
          </rPr>
          <t>his software is licensed for single-seat, non-transferable use.
    Unauthorized sale, duplication, or distribution is prohibited.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bldig</author>
  </authors>
  <commentList>
    <comment ref="A1" authorId="0" shapeId="0" xr:uid="{65C9DE6F-5D63-4652-8201-C1BD8B84E99F}">
      <text>
        <r>
          <rPr>
            <sz val="9"/>
            <color indexed="81"/>
            <rFont val="Segoe UI Variable Display Semib"/>
          </rPr>
          <t>R</t>
        </r>
        <r>
          <rPr>
            <sz val="8.5"/>
            <color indexed="81"/>
            <rFont val="Segoe UI Variable Display Semib"/>
          </rPr>
          <t xml:space="preserve">ECOMMENDED </t>
        </r>
        <r>
          <rPr>
            <sz val="9"/>
            <color indexed="81"/>
            <rFont val="Segoe UI Variable Display Semib"/>
          </rPr>
          <t>S</t>
        </r>
        <r>
          <rPr>
            <sz val="8.5"/>
            <color indexed="81"/>
            <rFont val="Segoe UI Variable Display Semib"/>
          </rPr>
          <t>ETTINGS</t>
        </r>
        <r>
          <rPr>
            <sz val="8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Display</t>
        </r>
        <r>
          <rPr>
            <sz val="9"/>
            <color indexed="18"/>
            <rFont val="Calibri"/>
            <family val="2"/>
            <scheme val="minor"/>
          </rPr>
          <t xml:space="preserve">   </t>
        </r>
        <r>
          <rPr>
            <sz val="9"/>
            <color indexed="81"/>
            <rFont val="Calibri"/>
            <family val="2"/>
            <scheme val="minor"/>
          </rPr>
          <t xml:space="preserve">23" monitor,  1920 x 1080 resolution,  125% scaling  
</t>
        </r>
        <r>
          <rPr>
            <sz val="8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Excel</t>
        </r>
        <r>
          <rPr>
            <sz val="9"/>
            <color indexed="18"/>
            <rFont val="Calibri"/>
            <family val="2"/>
            <scheme val="minor"/>
          </rPr>
          <t xml:space="preserve">        </t>
        </r>
        <r>
          <rPr>
            <sz val="9"/>
            <color indexed="81"/>
            <rFont val="Calibri"/>
            <family val="2"/>
            <scheme val="minor"/>
          </rPr>
          <t>For each tab:
                      1. View &gt; Zoom group &gt; click 100%
                      2. View &gt; Show group &gt; uncheck Headings
                      3. View &gt; Show group &gt; uncheck Formula Bar</t>
        </r>
        <r>
          <rPr>
            <sz val="4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Segoe UI Variable Display Semib"/>
          </rPr>
          <t>O</t>
        </r>
        <r>
          <rPr>
            <sz val="8.5"/>
            <color indexed="81"/>
            <rFont val="Segoe UI Variable Display Semib"/>
          </rPr>
          <t xml:space="preserve">UTPUT </t>
        </r>
        <r>
          <rPr>
            <sz val="9"/>
            <color indexed="81"/>
            <rFont val="Segoe UI Variable Display Semib"/>
          </rPr>
          <t>O</t>
        </r>
        <r>
          <rPr>
            <sz val="8.5"/>
            <color indexed="81"/>
            <rFont val="Segoe UI Variable Display Semib"/>
          </rPr>
          <t>PTIONS</t>
        </r>
        <r>
          <rPr>
            <sz val="9.5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Printer</t>
        </r>
        <r>
          <rPr>
            <sz val="9"/>
            <color indexed="18"/>
            <rFont val="Calibri"/>
            <family val="2"/>
            <scheme val="minor"/>
          </rPr>
          <t xml:space="preserve">    </t>
        </r>
        <r>
          <rPr>
            <sz val="9"/>
            <color indexed="81"/>
            <rFont val="Calibri"/>
            <family val="2"/>
            <scheme val="minor"/>
          </rPr>
          <t xml:space="preserve">File &gt; Print
 </t>
        </r>
        <r>
          <rPr>
            <b/>
            <sz val="9"/>
            <color indexed="18"/>
            <rFont val="Calibri"/>
            <family val="2"/>
            <scheme val="minor"/>
          </rPr>
          <t>PDF</t>
        </r>
        <r>
          <rPr>
            <sz val="9"/>
            <color indexed="18"/>
            <rFont val="Calibri"/>
            <family val="2"/>
            <scheme val="minor"/>
          </rPr>
          <t xml:space="preserve">           </t>
        </r>
        <r>
          <rPr>
            <sz val="9"/>
            <color indexed="81"/>
            <rFont val="Calibri"/>
            <family val="2"/>
            <scheme val="minor"/>
          </rPr>
          <t xml:space="preserve">File &gt; Save As &gt; Browse &gt; choose folder &gt; select PDF
</t>
        </r>
        <r>
          <rPr>
            <sz val="4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Segoe UI Variable Display Semib"/>
          </rPr>
          <t>C</t>
        </r>
        <r>
          <rPr>
            <sz val="8.5"/>
            <color indexed="81"/>
            <rFont val="Segoe UI Variable Display Semib"/>
          </rPr>
          <t xml:space="preserve">ELL </t>
        </r>
        <r>
          <rPr>
            <sz val="9"/>
            <color indexed="81"/>
            <rFont val="Segoe UI Variable Display Semib"/>
          </rPr>
          <t>E</t>
        </r>
        <r>
          <rPr>
            <sz val="8.5"/>
            <color indexed="81"/>
            <rFont val="Segoe UI Variable Display Semib"/>
          </rPr>
          <t xml:space="preserve">DITING
</t>
        </r>
        <r>
          <rPr>
            <sz val="9"/>
            <color indexed="81"/>
            <rFont val="Calibri"/>
            <family val="2"/>
            <scheme val="minor"/>
          </rPr>
          <t xml:space="preserve"> User can edit or modify all formula cells</t>
        </r>
        <r>
          <rPr>
            <sz val="8.5"/>
            <color indexed="81"/>
            <rFont val="Segoe UI Variable Display Semib"/>
          </rPr>
          <t xml:space="preserve">
</t>
        </r>
        <r>
          <rPr>
            <sz val="8"/>
            <color indexed="81"/>
            <rFont val="Calibri"/>
            <family val="2"/>
            <scheme val="minor"/>
          </rPr>
          <t xml:space="preserve">
</t>
        </r>
        <r>
          <rPr>
            <sz val="4"/>
            <color indexed="81"/>
            <rFont val="Calibri"/>
            <family val="2"/>
            <scheme val="minor"/>
          </rPr>
          <t xml:space="preserve">                                                                                       </t>
        </r>
        <r>
          <rPr>
            <sz val="9.5"/>
            <color indexed="81"/>
            <rFont val="Calibri"/>
            <family val="2"/>
            <scheme val="minor"/>
          </rPr>
          <t xml:space="preserve">© 2025, </t>
        </r>
        <r>
          <rPr>
            <sz val="12"/>
            <color indexed="18"/>
            <rFont val="Rough Draft"/>
          </rPr>
          <t>E</t>
        </r>
        <r>
          <rPr>
            <sz val="10"/>
            <color indexed="18"/>
            <rFont val="Rough Draft"/>
          </rPr>
          <t>XCEL</t>
        </r>
        <r>
          <rPr>
            <sz val="12"/>
            <color indexed="18"/>
            <rFont val="Rough Draft"/>
          </rPr>
          <t>M</t>
        </r>
        <r>
          <rPr>
            <sz val="10"/>
            <color indexed="18"/>
            <rFont val="Rough Draft"/>
          </rPr>
          <t>ODELS</t>
        </r>
        <r>
          <rPr>
            <sz val="9.5"/>
            <color indexed="81"/>
            <rFont val="Calibri"/>
            <family val="2"/>
            <scheme val="minor"/>
          </rPr>
          <t xml:space="preserve">.com
</t>
        </r>
        <r>
          <rPr>
            <sz val="8"/>
            <color indexed="81"/>
            <rFont val="Calibri"/>
            <family val="2"/>
            <scheme val="minor"/>
          </rPr>
          <t xml:space="preserve">                                       </t>
        </r>
        <r>
          <rPr>
            <sz val="9.5"/>
            <color indexed="81"/>
            <rFont val="Calibri"/>
            <family val="2"/>
            <scheme val="minor"/>
          </rPr>
          <t>info@ExcelModels.com</t>
        </r>
        <r>
          <rPr>
            <sz val="2"/>
            <color indexed="81"/>
            <rFont val="Calibri"/>
            <family val="2"/>
            <scheme val="minor"/>
          </rPr>
          <t xml:space="preserve">
</t>
        </r>
        <r>
          <rPr>
            <i/>
            <sz val="8.5"/>
            <color indexed="81"/>
            <rFont val="Calibri"/>
            <family val="2"/>
            <scheme val="minor"/>
          </rPr>
          <t xml:space="preserve">  T</t>
        </r>
        <r>
          <rPr>
            <i/>
            <sz val="9"/>
            <color indexed="81"/>
            <rFont val="Calibri"/>
            <family val="2"/>
            <scheme val="minor"/>
          </rPr>
          <t>his software is licensed for single-seat, non-transferable use.
    Unauthorized sale, duplication, or distribution is prohibited.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bldig</author>
  </authors>
  <commentList>
    <comment ref="A1" authorId="0" shapeId="0" xr:uid="{8C395235-37B9-4EE3-BF2B-6150090042D1}">
      <text>
        <r>
          <rPr>
            <sz val="9"/>
            <color indexed="81"/>
            <rFont val="Segoe UI Variable Display Semib"/>
          </rPr>
          <t>R</t>
        </r>
        <r>
          <rPr>
            <sz val="8.5"/>
            <color indexed="81"/>
            <rFont val="Segoe UI Variable Display Semib"/>
          </rPr>
          <t xml:space="preserve">ECOMMENDED </t>
        </r>
        <r>
          <rPr>
            <sz val="9"/>
            <color indexed="81"/>
            <rFont val="Segoe UI Variable Display Semib"/>
          </rPr>
          <t>S</t>
        </r>
        <r>
          <rPr>
            <sz val="8.5"/>
            <color indexed="81"/>
            <rFont val="Segoe UI Variable Display Semib"/>
          </rPr>
          <t>ETTINGS</t>
        </r>
        <r>
          <rPr>
            <sz val="8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Display</t>
        </r>
        <r>
          <rPr>
            <sz val="9"/>
            <color indexed="18"/>
            <rFont val="Calibri"/>
            <family val="2"/>
            <scheme val="minor"/>
          </rPr>
          <t xml:space="preserve">   </t>
        </r>
        <r>
          <rPr>
            <sz val="9"/>
            <color indexed="81"/>
            <rFont val="Calibri"/>
            <family val="2"/>
            <scheme val="minor"/>
          </rPr>
          <t xml:space="preserve">23" monitor,  1920 x 1080 resolution,  125% scaling  
</t>
        </r>
        <r>
          <rPr>
            <sz val="8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Excel</t>
        </r>
        <r>
          <rPr>
            <sz val="9"/>
            <color indexed="18"/>
            <rFont val="Calibri"/>
            <family val="2"/>
            <scheme val="minor"/>
          </rPr>
          <t xml:space="preserve">        </t>
        </r>
        <r>
          <rPr>
            <sz val="9"/>
            <color indexed="81"/>
            <rFont val="Calibri"/>
            <family val="2"/>
            <scheme val="minor"/>
          </rPr>
          <t>For each tab:
                      1. View &gt; Zoom group &gt; click 100%
                      2. View &gt; Show group &gt; uncheck Headings
                      3. View &gt; Show group &gt; uncheck Formula Bar</t>
        </r>
        <r>
          <rPr>
            <sz val="4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Segoe UI Variable Display Semib"/>
          </rPr>
          <t>O</t>
        </r>
        <r>
          <rPr>
            <sz val="8.5"/>
            <color indexed="81"/>
            <rFont val="Segoe UI Variable Display Semib"/>
          </rPr>
          <t xml:space="preserve">UTPUT </t>
        </r>
        <r>
          <rPr>
            <sz val="9"/>
            <color indexed="81"/>
            <rFont val="Segoe UI Variable Display Semib"/>
          </rPr>
          <t>O</t>
        </r>
        <r>
          <rPr>
            <sz val="8.5"/>
            <color indexed="81"/>
            <rFont val="Segoe UI Variable Display Semib"/>
          </rPr>
          <t>PTIONS</t>
        </r>
        <r>
          <rPr>
            <sz val="9.5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Printer</t>
        </r>
        <r>
          <rPr>
            <sz val="9"/>
            <color indexed="18"/>
            <rFont val="Calibri"/>
            <family val="2"/>
            <scheme val="minor"/>
          </rPr>
          <t xml:space="preserve">    </t>
        </r>
        <r>
          <rPr>
            <sz val="9"/>
            <color indexed="81"/>
            <rFont val="Calibri"/>
            <family val="2"/>
            <scheme val="minor"/>
          </rPr>
          <t xml:space="preserve">File &gt; Print
 </t>
        </r>
        <r>
          <rPr>
            <b/>
            <sz val="9"/>
            <color indexed="18"/>
            <rFont val="Calibri"/>
            <family val="2"/>
            <scheme val="minor"/>
          </rPr>
          <t>PDF</t>
        </r>
        <r>
          <rPr>
            <sz val="9"/>
            <color indexed="18"/>
            <rFont val="Calibri"/>
            <family val="2"/>
            <scheme val="minor"/>
          </rPr>
          <t xml:space="preserve">           </t>
        </r>
        <r>
          <rPr>
            <sz val="9"/>
            <color indexed="81"/>
            <rFont val="Calibri"/>
            <family val="2"/>
            <scheme val="minor"/>
          </rPr>
          <t xml:space="preserve">File &gt; Save As &gt; Browse &gt; choose folder &gt; select PDF
</t>
        </r>
        <r>
          <rPr>
            <sz val="4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Segoe UI Variable Display Semib"/>
          </rPr>
          <t>C</t>
        </r>
        <r>
          <rPr>
            <sz val="8.5"/>
            <color indexed="81"/>
            <rFont val="Segoe UI Variable Display Semib"/>
          </rPr>
          <t xml:space="preserve">ELL </t>
        </r>
        <r>
          <rPr>
            <sz val="9"/>
            <color indexed="81"/>
            <rFont val="Segoe UI Variable Display Semib"/>
          </rPr>
          <t>E</t>
        </r>
        <r>
          <rPr>
            <sz val="8.5"/>
            <color indexed="81"/>
            <rFont val="Segoe UI Variable Display Semib"/>
          </rPr>
          <t xml:space="preserve">DITING
</t>
        </r>
        <r>
          <rPr>
            <sz val="9"/>
            <color indexed="81"/>
            <rFont val="Calibri"/>
            <family val="2"/>
            <scheme val="minor"/>
          </rPr>
          <t xml:space="preserve"> User can edit or modify all formula cells</t>
        </r>
        <r>
          <rPr>
            <sz val="8.5"/>
            <color indexed="81"/>
            <rFont val="Segoe UI Variable Display Semib"/>
          </rPr>
          <t xml:space="preserve">
</t>
        </r>
        <r>
          <rPr>
            <sz val="8"/>
            <color indexed="81"/>
            <rFont val="Calibri"/>
            <family val="2"/>
            <scheme val="minor"/>
          </rPr>
          <t xml:space="preserve">
</t>
        </r>
        <r>
          <rPr>
            <sz val="4"/>
            <color indexed="81"/>
            <rFont val="Calibri"/>
            <family val="2"/>
            <scheme val="minor"/>
          </rPr>
          <t xml:space="preserve">                                                                                       </t>
        </r>
        <r>
          <rPr>
            <sz val="9.5"/>
            <color indexed="81"/>
            <rFont val="Calibri"/>
            <family val="2"/>
            <scheme val="minor"/>
          </rPr>
          <t xml:space="preserve">© 2025, </t>
        </r>
        <r>
          <rPr>
            <sz val="12"/>
            <color indexed="18"/>
            <rFont val="Rough Draft"/>
          </rPr>
          <t>E</t>
        </r>
        <r>
          <rPr>
            <sz val="10"/>
            <color indexed="18"/>
            <rFont val="Rough Draft"/>
          </rPr>
          <t>XCEL</t>
        </r>
        <r>
          <rPr>
            <sz val="12"/>
            <color indexed="18"/>
            <rFont val="Rough Draft"/>
          </rPr>
          <t>M</t>
        </r>
        <r>
          <rPr>
            <sz val="10"/>
            <color indexed="18"/>
            <rFont val="Rough Draft"/>
          </rPr>
          <t>ODELS</t>
        </r>
        <r>
          <rPr>
            <sz val="9.5"/>
            <color indexed="81"/>
            <rFont val="Calibri"/>
            <family val="2"/>
            <scheme val="minor"/>
          </rPr>
          <t xml:space="preserve">.com
</t>
        </r>
        <r>
          <rPr>
            <sz val="8"/>
            <color indexed="81"/>
            <rFont val="Calibri"/>
            <family val="2"/>
            <scheme val="minor"/>
          </rPr>
          <t xml:space="preserve">                                       </t>
        </r>
        <r>
          <rPr>
            <sz val="9.5"/>
            <color indexed="81"/>
            <rFont val="Calibri"/>
            <family val="2"/>
            <scheme val="minor"/>
          </rPr>
          <t>info@ExcelModels.com</t>
        </r>
        <r>
          <rPr>
            <sz val="2"/>
            <color indexed="81"/>
            <rFont val="Calibri"/>
            <family val="2"/>
            <scheme val="minor"/>
          </rPr>
          <t xml:space="preserve">
</t>
        </r>
        <r>
          <rPr>
            <i/>
            <sz val="8.5"/>
            <color indexed="81"/>
            <rFont val="Calibri"/>
            <family val="2"/>
            <scheme val="minor"/>
          </rPr>
          <t xml:space="preserve">  T</t>
        </r>
        <r>
          <rPr>
            <i/>
            <sz val="9"/>
            <color indexed="81"/>
            <rFont val="Calibri"/>
            <family val="2"/>
            <scheme val="minor"/>
          </rPr>
          <t>his software is licensed for single-seat, non-transferable use.
    Unauthorized sale, duplication, or distribution is prohibited.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bldig</author>
  </authors>
  <commentList>
    <comment ref="A1" authorId="0" shapeId="0" xr:uid="{CBA7327F-B1A0-4FFE-8B24-603B323047D4}">
      <text>
        <r>
          <rPr>
            <sz val="9"/>
            <color indexed="81"/>
            <rFont val="Segoe UI Variable Display Semib"/>
          </rPr>
          <t>R</t>
        </r>
        <r>
          <rPr>
            <sz val="8.5"/>
            <color indexed="81"/>
            <rFont val="Segoe UI Variable Display Semib"/>
          </rPr>
          <t xml:space="preserve">ECOMMENDED </t>
        </r>
        <r>
          <rPr>
            <sz val="9"/>
            <color indexed="81"/>
            <rFont val="Segoe UI Variable Display Semib"/>
          </rPr>
          <t>S</t>
        </r>
        <r>
          <rPr>
            <sz val="8.5"/>
            <color indexed="81"/>
            <rFont val="Segoe UI Variable Display Semib"/>
          </rPr>
          <t>ETTINGS</t>
        </r>
        <r>
          <rPr>
            <sz val="8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Display</t>
        </r>
        <r>
          <rPr>
            <sz val="9"/>
            <color indexed="18"/>
            <rFont val="Calibri"/>
            <family val="2"/>
            <scheme val="minor"/>
          </rPr>
          <t xml:space="preserve">   </t>
        </r>
        <r>
          <rPr>
            <sz val="9"/>
            <color indexed="81"/>
            <rFont val="Calibri"/>
            <family val="2"/>
            <scheme val="minor"/>
          </rPr>
          <t xml:space="preserve">23" monitor,  1920 x 1080 resolution,  125% scaling  
</t>
        </r>
        <r>
          <rPr>
            <sz val="8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Excel</t>
        </r>
        <r>
          <rPr>
            <sz val="9"/>
            <color indexed="18"/>
            <rFont val="Calibri"/>
            <family val="2"/>
            <scheme val="minor"/>
          </rPr>
          <t xml:space="preserve">        </t>
        </r>
        <r>
          <rPr>
            <sz val="9"/>
            <color indexed="81"/>
            <rFont val="Calibri"/>
            <family val="2"/>
            <scheme val="minor"/>
          </rPr>
          <t>For each tab:
                      1. View &gt; Zoom group &gt; click 100%
                      2. View &gt; Show group &gt; uncheck Headings
                      3. View &gt; Show group &gt; uncheck Formula Bar</t>
        </r>
        <r>
          <rPr>
            <sz val="4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Segoe UI Variable Display Semib"/>
          </rPr>
          <t>O</t>
        </r>
        <r>
          <rPr>
            <sz val="8.5"/>
            <color indexed="81"/>
            <rFont val="Segoe UI Variable Display Semib"/>
          </rPr>
          <t xml:space="preserve">UTPUT </t>
        </r>
        <r>
          <rPr>
            <sz val="9"/>
            <color indexed="81"/>
            <rFont val="Segoe UI Variable Display Semib"/>
          </rPr>
          <t>O</t>
        </r>
        <r>
          <rPr>
            <sz val="8.5"/>
            <color indexed="81"/>
            <rFont val="Segoe UI Variable Display Semib"/>
          </rPr>
          <t>PTIONS</t>
        </r>
        <r>
          <rPr>
            <sz val="9.5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Printer</t>
        </r>
        <r>
          <rPr>
            <sz val="9"/>
            <color indexed="18"/>
            <rFont val="Calibri"/>
            <family val="2"/>
            <scheme val="minor"/>
          </rPr>
          <t xml:space="preserve">    </t>
        </r>
        <r>
          <rPr>
            <sz val="9"/>
            <color indexed="81"/>
            <rFont val="Calibri"/>
            <family val="2"/>
            <scheme val="minor"/>
          </rPr>
          <t xml:space="preserve">File &gt; Print
 </t>
        </r>
        <r>
          <rPr>
            <b/>
            <sz val="9"/>
            <color indexed="18"/>
            <rFont val="Calibri"/>
            <family val="2"/>
            <scheme val="minor"/>
          </rPr>
          <t>PDF</t>
        </r>
        <r>
          <rPr>
            <sz val="9"/>
            <color indexed="18"/>
            <rFont val="Calibri"/>
            <family val="2"/>
            <scheme val="minor"/>
          </rPr>
          <t xml:space="preserve">           </t>
        </r>
        <r>
          <rPr>
            <sz val="9"/>
            <color indexed="81"/>
            <rFont val="Calibri"/>
            <family val="2"/>
            <scheme val="minor"/>
          </rPr>
          <t xml:space="preserve">File &gt; Save As &gt; Browse &gt; choose folder &gt; select PDF
</t>
        </r>
        <r>
          <rPr>
            <sz val="4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Segoe UI Variable Display Semib"/>
          </rPr>
          <t>C</t>
        </r>
        <r>
          <rPr>
            <sz val="8.5"/>
            <color indexed="81"/>
            <rFont val="Segoe UI Variable Display Semib"/>
          </rPr>
          <t xml:space="preserve">ELL </t>
        </r>
        <r>
          <rPr>
            <sz val="9"/>
            <color indexed="81"/>
            <rFont val="Segoe UI Variable Display Semib"/>
          </rPr>
          <t>E</t>
        </r>
        <r>
          <rPr>
            <sz val="8.5"/>
            <color indexed="81"/>
            <rFont val="Segoe UI Variable Display Semib"/>
          </rPr>
          <t xml:space="preserve">DITING
</t>
        </r>
        <r>
          <rPr>
            <sz val="9"/>
            <color indexed="81"/>
            <rFont val="Calibri"/>
            <family val="2"/>
            <scheme val="minor"/>
          </rPr>
          <t xml:space="preserve"> User can edit or modify all formula cells</t>
        </r>
        <r>
          <rPr>
            <sz val="8.5"/>
            <color indexed="81"/>
            <rFont val="Segoe UI Variable Display Semib"/>
          </rPr>
          <t xml:space="preserve">
</t>
        </r>
        <r>
          <rPr>
            <sz val="8"/>
            <color indexed="81"/>
            <rFont val="Calibri"/>
            <family val="2"/>
            <scheme val="minor"/>
          </rPr>
          <t xml:space="preserve">
</t>
        </r>
        <r>
          <rPr>
            <sz val="4"/>
            <color indexed="81"/>
            <rFont val="Calibri"/>
            <family val="2"/>
            <scheme val="minor"/>
          </rPr>
          <t xml:space="preserve">                                                                                       </t>
        </r>
        <r>
          <rPr>
            <sz val="9.5"/>
            <color indexed="81"/>
            <rFont val="Calibri"/>
            <family val="2"/>
            <scheme val="minor"/>
          </rPr>
          <t xml:space="preserve">© 2025, </t>
        </r>
        <r>
          <rPr>
            <sz val="12"/>
            <color indexed="18"/>
            <rFont val="Rough Draft"/>
          </rPr>
          <t>E</t>
        </r>
        <r>
          <rPr>
            <sz val="10"/>
            <color indexed="18"/>
            <rFont val="Rough Draft"/>
          </rPr>
          <t>XCEL</t>
        </r>
        <r>
          <rPr>
            <sz val="12"/>
            <color indexed="18"/>
            <rFont val="Rough Draft"/>
          </rPr>
          <t>M</t>
        </r>
        <r>
          <rPr>
            <sz val="10"/>
            <color indexed="18"/>
            <rFont val="Rough Draft"/>
          </rPr>
          <t>ODELS</t>
        </r>
        <r>
          <rPr>
            <sz val="9.5"/>
            <color indexed="81"/>
            <rFont val="Calibri"/>
            <family val="2"/>
            <scheme val="minor"/>
          </rPr>
          <t xml:space="preserve">.com
</t>
        </r>
        <r>
          <rPr>
            <sz val="8"/>
            <color indexed="81"/>
            <rFont val="Calibri"/>
            <family val="2"/>
            <scheme val="minor"/>
          </rPr>
          <t xml:space="preserve">                                       </t>
        </r>
        <r>
          <rPr>
            <sz val="9.5"/>
            <color indexed="81"/>
            <rFont val="Calibri"/>
            <family val="2"/>
            <scheme val="minor"/>
          </rPr>
          <t>info@ExcelModels.com</t>
        </r>
        <r>
          <rPr>
            <sz val="2"/>
            <color indexed="81"/>
            <rFont val="Calibri"/>
            <family val="2"/>
            <scheme val="minor"/>
          </rPr>
          <t xml:space="preserve">
</t>
        </r>
        <r>
          <rPr>
            <i/>
            <sz val="8.5"/>
            <color indexed="81"/>
            <rFont val="Calibri"/>
            <family val="2"/>
            <scheme val="minor"/>
          </rPr>
          <t xml:space="preserve">  T</t>
        </r>
        <r>
          <rPr>
            <i/>
            <sz val="9"/>
            <color indexed="81"/>
            <rFont val="Calibri"/>
            <family val="2"/>
            <scheme val="minor"/>
          </rPr>
          <t>his software is licensed for single-seat, non-transferable use.
    Unauthorized sale, duplication, or distribution is prohibited.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bldig</author>
  </authors>
  <commentList>
    <comment ref="A1" authorId="0" shapeId="0" xr:uid="{FEAC2F76-21E0-4E59-B4C6-8E0F21896B79}">
      <text>
        <r>
          <rPr>
            <sz val="9"/>
            <color indexed="81"/>
            <rFont val="Segoe UI Variable Display Semib"/>
          </rPr>
          <t>R</t>
        </r>
        <r>
          <rPr>
            <sz val="8.5"/>
            <color indexed="81"/>
            <rFont val="Segoe UI Variable Display Semib"/>
          </rPr>
          <t xml:space="preserve">ECOMMENDED </t>
        </r>
        <r>
          <rPr>
            <sz val="9"/>
            <color indexed="81"/>
            <rFont val="Segoe UI Variable Display Semib"/>
          </rPr>
          <t>S</t>
        </r>
        <r>
          <rPr>
            <sz val="8.5"/>
            <color indexed="81"/>
            <rFont val="Segoe UI Variable Display Semib"/>
          </rPr>
          <t>ETTINGS</t>
        </r>
        <r>
          <rPr>
            <sz val="8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Display</t>
        </r>
        <r>
          <rPr>
            <sz val="9"/>
            <color indexed="18"/>
            <rFont val="Calibri"/>
            <family val="2"/>
            <scheme val="minor"/>
          </rPr>
          <t xml:space="preserve">   </t>
        </r>
        <r>
          <rPr>
            <sz val="9"/>
            <color indexed="81"/>
            <rFont val="Calibri"/>
            <family val="2"/>
            <scheme val="minor"/>
          </rPr>
          <t xml:space="preserve">23" monitor,  1920 x 1080 resolution,  125% scaling  
</t>
        </r>
        <r>
          <rPr>
            <sz val="8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Excel</t>
        </r>
        <r>
          <rPr>
            <sz val="9"/>
            <color indexed="18"/>
            <rFont val="Calibri"/>
            <family val="2"/>
            <scheme val="minor"/>
          </rPr>
          <t xml:space="preserve">        </t>
        </r>
        <r>
          <rPr>
            <sz val="9"/>
            <color indexed="81"/>
            <rFont val="Calibri"/>
            <family val="2"/>
            <scheme val="minor"/>
          </rPr>
          <t>For each tab:
                      1. View &gt; Zoom group &gt; click 100%
                      2. View &gt; Show group &gt; uncheck Headings
                      3. View &gt; Show group &gt; uncheck Formula Bar</t>
        </r>
        <r>
          <rPr>
            <sz val="4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Segoe UI Variable Display Semib"/>
          </rPr>
          <t>O</t>
        </r>
        <r>
          <rPr>
            <sz val="8.5"/>
            <color indexed="81"/>
            <rFont val="Segoe UI Variable Display Semib"/>
          </rPr>
          <t xml:space="preserve">UTPUT </t>
        </r>
        <r>
          <rPr>
            <sz val="9"/>
            <color indexed="81"/>
            <rFont val="Segoe UI Variable Display Semib"/>
          </rPr>
          <t>O</t>
        </r>
        <r>
          <rPr>
            <sz val="8.5"/>
            <color indexed="81"/>
            <rFont val="Segoe UI Variable Display Semib"/>
          </rPr>
          <t>PTIONS</t>
        </r>
        <r>
          <rPr>
            <sz val="9.5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Printer</t>
        </r>
        <r>
          <rPr>
            <sz val="9"/>
            <color indexed="18"/>
            <rFont val="Calibri"/>
            <family val="2"/>
            <scheme val="minor"/>
          </rPr>
          <t xml:space="preserve">    </t>
        </r>
        <r>
          <rPr>
            <sz val="9"/>
            <color indexed="81"/>
            <rFont val="Calibri"/>
            <family val="2"/>
            <scheme val="minor"/>
          </rPr>
          <t xml:space="preserve">File &gt; Print
 </t>
        </r>
        <r>
          <rPr>
            <b/>
            <sz val="9"/>
            <color indexed="18"/>
            <rFont val="Calibri"/>
            <family val="2"/>
            <scheme val="minor"/>
          </rPr>
          <t>PDF</t>
        </r>
        <r>
          <rPr>
            <sz val="9"/>
            <color indexed="18"/>
            <rFont val="Calibri"/>
            <family val="2"/>
            <scheme val="minor"/>
          </rPr>
          <t xml:space="preserve">           </t>
        </r>
        <r>
          <rPr>
            <sz val="9"/>
            <color indexed="81"/>
            <rFont val="Calibri"/>
            <family val="2"/>
            <scheme val="minor"/>
          </rPr>
          <t xml:space="preserve">File &gt; Save As &gt; Browse &gt; choose folder &gt; select PDF
</t>
        </r>
        <r>
          <rPr>
            <sz val="4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Segoe UI Variable Display Semib"/>
          </rPr>
          <t>C</t>
        </r>
        <r>
          <rPr>
            <sz val="8.5"/>
            <color indexed="81"/>
            <rFont val="Segoe UI Variable Display Semib"/>
          </rPr>
          <t xml:space="preserve">ELL </t>
        </r>
        <r>
          <rPr>
            <sz val="9"/>
            <color indexed="81"/>
            <rFont val="Segoe UI Variable Display Semib"/>
          </rPr>
          <t>E</t>
        </r>
        <r>
          <rPr>
            <sz val="8.5"/>
            <color indexed="81"/>
            <rFont val="Segoe UI Variable Display Semib"/>
          </rPr>
          <t xml:space="preserve">DITING
</t>
        </r>
        <r>
          <rPr>
            <sz val="9"/>
            <color indexed="81"/>
            <rFont val="Calibri"/>
            <family val="2"/>
            <scheme val="minor"/>
          </rPr>
          <t xml:space="preserve"> User can edit or modify all formula cells</t>
        </r>
        <r>
          <rPr>
            <sz val="8.5"/>
            <color indexed="81"/>
            <rFont val="Segoe UI Variable Display Semib"/>
          </rPr>
          <t xml:space="preserve">
</t>
        </r>
        <r>
          <rPr>
            <sz val="8"/>
            <color indexed="81"/>
            <rFont val="Calibri"/>
            <family val="2"/>
            <scheme val="minor"/>
          </rPr>
          <t xml:space="preserve">
</t>
        </r>
        <r>
          <rPr>
            <sz val="4"/>
            <color indexed="81"/>
            <rFont val="Calibri"/>
            <family val="2"/>
            <scheme val="minor"/>
          </rPr>
          <t xml:space="preserve">                                                                                       </t>
        </r>
        <r>
          <rPr>
            <sz val="9.5"/>
            <color indexed="81"/>
            <rFont val="Calibri"/>
            <family val="2"/>
            <scheme val="minor"/>
          </rPr>
          <t xml:space="preserve">© 2025, </t>
        </r>
        <r>
          <rPr>
            <sz val="12"/>
            <color indexed="18"/>
            <rFont val="Rough Draft"/>
          </rPr>
          <t>E</t>
        </r>
        <r>
          <rPr>
            <sz val="10"/>
            <color indexed="18"/>
            <rFont val="Rough Draft"/>
          </rPr>
          <t>XCEL</t>
        </r>
        <r>
          <rPr>
            <sz val="12"/>
            <color indexed="18"/>
            <rFont val="Rough Draft"/>
          </rPr>
          <t>M</t>
        </r>
        <r>
          <rPr>
            <sz val="10"/>
            <color indexed="18"/>
            <rFont val="Rough Draft"/>
          </rPr>
          <t>ODELS</t>
        </r>
        <r>
          <rPr>
            <sz val="9.5"/>
            <color indexed="81"/>
            <rFont val="Calibri"/>
            <family val="2"/>
            <scheme val="minor"/>
          </rPr>
          <t xml:space="preserve">.com
</t>
        </r>
        <r>
          <rPr>
            <sz val="8"/>
            <color indexed="81"/>
            <rFont val="Calibri"/>
            <family val="2"/>
            <scheme val="minor"/>
          </rPr>
          <t xml:space="preserve">                                       </t>
        </r>
        <r>
          <rPr>
            <sz val="9.5"/>
            <color indexed="81"/>
            <rFont val="Calibri"/>
            <family val="2"/>
            <scheme val="minor"/>
          </rPr>
          <t>info@ExcelModels.com</t>
        </r>
        <r>
          <rPr>
            <sz val="2"/>
            <color indexed="81"/>
            <rFont val="Calibri"/>
            <family val="2"/>
            <scheme val="minor"/>
          </rPr>
          <t xml:space="preserve">
</t>
        </r>
        <r>
          <rPr>
            <i/>
            <sz val="8.5"/>
            <color indexed="81"/>
            <rFont val="Calibri"/>
            <family val="2"/>
            <scheme val="minor"/>
          </rPr>
          <t xml:space="preserve">  T</t>
        </r>
        <r>
          <rPr>
            <i/>
            <sz val="9"/>
            <color indexed="81"/>
            <rFont val="Calibri"/>
            <family val="2"/>
            <scheme val="minor"/>
          </rPr>
          <t>his software is licensed for single-seat, non-transferable use.
    Unauthorized sale, duplication, or distribution is prohibited.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bldig</author>
  </authors>
  <commentList>
    <comment ref="A1" authorId="0" shapeId="0" xr:uid="{FCF2E62D-B46E-4256-B73F-80B47FA77EC6}">
      <text>
        <r>
          <rPr>
            <sz val="9"/>
            <color indexed="81"/>
            <rFont val="Segoe UI Variable Display Semib"/>
          </rPr>
          <t>R</t>
        </r>
        <r>
          <rPr>
            <sz val="8.5"/>
            <color indexed="81"/>
            <rFont val="Segoe UI Variable Display Semib"/>
          </rPr>
          <t xml:space="preserve">ECOMMENDED </t>
        </r>
        <r>
          <rPr>
            <sz val="9"/>
            <color indexed="81"/>
            <rFont val="Segoe UI Variable Display Semib"/>
          </rPr>
          <t>S</t>
        </r>
        <r>
          <rPr>
            <sz val="8.5"/>
            <color indexed="81"/>
            <rFont val="Segoe UI Variable Display Semib"/>
          </rPr>
          <t>ETTINGS</t>
        </r>
        <r>
          <rPr>
            <sz val="8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Display</t>
        </r>
        <r>
          <rPr>
            <sz val="9"/>
            <color indexed="18"/>
            <rFont val="Calibri"/>
            <family val="2"/>
            <scheme val="minor"/>
          </rPr>
          <t xml:space="preserve">   </t>
        </r>
        <r>
          <rPr>
            <sz val="9"/>
            <color indexed="81"/>
            <rFont val="Calibri"/>
            <family val="2"/>
            <scheme val="minor"/>
          </rPr>
          <t xml:space="preserve">23" monitor,  1920 x 1080 resolution,  125% scaling  
</t>
        </r>
        <r>
          <rPr>
            <sz val="8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Excel</t>
        </r>
        <r>
          <rPr>
            <sz val="9"/>
            <color indexed="18"/>
            <rFont val="Calibri"/>
            <family val="2"/>
            <scheme val="minor"/>
          </rPr>
          <t xml:space="preserve">        </t>
        </r>
        <r>
          <rPr>
            <sz val="9"/>
            <color indexed="81"/>
            <rFont val="Calibri"/>
            <family val="2"/>
            <scheme val="minor"/>
          </rPr>
          <t>For each tab:
                      1. View &gt; Zoom group &gt; click 100%
                      2. View &gt; Show group &gt; uncheck Headings
                      3. View &gt; Show group &gt; uncheck Formula Bar</t>
        </r>
        <r>
          <rPr>
            <sz val="4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Segoe UI Variable Display Semib"/>
          </rPr>
          <t>O</t>
        </r>
        <r>
          <rPr>
            <sz val="8.5"/>
            <color indexed="81"/>
            <rFont val="Segoe UI Variable Display Semib"/>
          </rPr>
          <t xml:space="preserve">UTPUT </t>
        </r>
        <r>
          <rPr>
            <sz val="9"/>
            <color indexed="81"/>
            <rFont val="Segoe UI Variable Display Semib"/>
          </rPr>
          <t>O</t>
        </r>
        <r>
          <rPr>
            <sz val="8.5"/>
            <color indexed="81"/>
            <rFont val="Segoe UI Variable Display Semib"/>
          </rPr>
          <t>PTIONS</t>
        </r>
        <r>
          <rPr>
            <sz val="9.5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 </t>
        </r>
        <r>
          <rPr>
            <b/>
            <sz val="9"/>
            <color indexed="18"/>
            <rFont val="Calibri"/>
            <family val="2"/>
            <scheme val="minor"/>
          </rPr>
          <t>Printer</t>
        </r>
        <r>
          <rPr>
            <sz val="9"/>
            <color indexed="18"/>
            <rFont val="Calibri"/>
            <family val="2"/>
            <scheme val="minor"/>
          </rPr>
          <t xml:space="preserve">    </t>
        </r>
        <r>
          <rPr>
            <sz val="9"/>
            <color indexed="81"/>
            <rFont val="Calibri"/>
            <family val="2"/>
            <scheme val="minor"/>
          </rPr>
          <t xml:space="preserve">File &gt; Print
 </t>
        </r>
        <r>
          <rPr>
            <b/>
            <sz val="9"/>
            <color indexed="18"/>
            <rFont val="Calibri"/>
            <family val="2"/>
            <scheme val="minor"/>
          </rPr>
          <t>PDF</t>
        </r>
        <r>
          <rPr>
            <sz val="9"/>
            <color indexed="18"/>
            <rFont val="Calibri"/>
            <family val="2"/>
            <scheme val="minor"/>
          </rPr>
          <t xml:space="preserve">           </t>
        </r>
        <r>
          <rPr>
            <sz val="9"/>
            <color indexed="81"/>
            <rFont val="Calibri"/>
            <family val="2"/>
            <scheme val="minor"/>
          </rPr>
          <t xml:space="preserve">File &gt; Save As &gt; Browse &gt; choose folder &gt; select PDF
</t>
        </r>
        <r>
          <rPr>
            <sz val="4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Segoe UI Variable Display Semib"/>
          </rPr>
          <t>C</t>
        </r>
        <r>
          <rPr>
            <sz val="8.5"/>
            <color indexed="81"/>
            <rFont val="Segoe UI Variable Display Semib"/>
          </rPr>
          <t xml:space="preserve">ELL </t>
        </r>
        <r>
          <rPr>
            <sz val="9"/>
            <color indexed="81"/>
            <rFont val="Segoe UI Variable Display Semib"/>
          </rPr>
          <t>E</t>
        </r>
        <r>
          <rPr>
            <sz val="8.5"/>
            <color indexed="81"/>
            <rFont val="Segoe UI Variable Display Semib"/>
          </rPr>
          <t xml:space="preserve">DITING
</t>
        </r>
        <r>
          <rPr>
            <sz val="9"/>
            <color indexed="81"/>
            <rFont val="Calibri"/>
            <family val="2"/>
            <scheme val="minor"/>
          </rPr>
          <t xml:space="preserve"> User can edit or modify all formula cells</t>
        </r>
        <r>
          <rPr>
            <sz val="8.5"/>
            <color indexed="81"/>
            <rFont val="Segoe UI Variable Display Semib"/>
          </rPr>
          <t xml:space="preserve">
</t>
        </r>
        <r>
          <rPr>
            <sz val="8"/>
            <color indexed="81"/>
            <rFont val="Calibri"/>
            <family val="2"/>
            <scheme val="minor"/>
          </rPr>
          <t xml:space="preserve">
</t>
        </r>
        <r>
          <rPr>
            <sz val="4"/>
            <color indexed="81"/>
            <rFont val="Calibri"/>
            <family val="2"/>
            <scheme val="minor"/>
          </rPr>
          <t xml:space="preserve">                                                                                       </t>
        </r>
        <r>
          <rPr>
            <sz val="9.5"/>
            <color indexed="81"/>
            <rFont val="Calibri"/>
            <family val="2"/>
            <scheme val="minor"/>
          </rPr>
          <t xml:space="preserve">© 2025, </t>
        </r>
        <r>
          <rPr>
            <sz val="12"/>
            <color indexed="18"/>
            <rFont val="Rough Draft"/>
          </rPr>
          <t>E</t>
        </r>
        <r>
          <rPr>
            <sz val="10"/>
            <color indexed="18"/>
            <rFont val="Rough Draft"/>
          </rPr>
          <t>XCEL</t>
        </r>
        <r>
          <rPr>
            <sz val="12"/>
            <color indexed="18"/>
            <rFont val="Rough Draft"/>
          </rPr>
          <t>M</t>
        </r>
        <r>
          <rPr>
            <sz val="10"/>
            <color indexed="18"/>
            <rFont val="Rough Draft"/>
          </rPr>
          <t>ODELS</t>
        </r>
        <r>
          <rPr>
            <sz val="9.5"/>
            <color indexed="81"/>
            <rFont val="Calibri"/>
            <family val="2"/>
            <scheme val="minor"/>
          </rPr>
          <t xml:space="preserve">.com
</t>
        </r>
        <r>
          <rPr>
            <sz val="8"/>
            <color indexed="81"/>
            <rFont val="Calibri"/>
            <family val="2"/>
            <scheme val="minor"/>
          </rPr>
          <t xml:space="preserve">                                       </t>
        </r>
        <r>
          <rPr>
            <sz val="9.5"/>
            <color indexed="81"/>
            <rFont val="Calibri"/>
            <family val="2"/>
            <scheme val="minor"/>
          </rPr>
          <t>info@ExcelModels.com</t>
        </r>
        <r>
          <rPr>
            <sz val="2"/>
            <color indexed="81"/>
            <rFont val="Calibri"/>
            <family val="2"/>
            <scheme val="minor"/>
          </rPr>
          <t xml:space="preserve">
</t>
        </r>
        <r>
          <rPr>
            <i/>
            <sz val="8.5"/>
            <color indexed="81"/>
            <rFont val="Calibri"/>
            <family val="2"/>
            <scheme val="minor"/>
          </rPr>
          <t xml:space="preserve">  T</t>
        </r>
        <r>
          <rPr>
            <i/>
            <sz val="9"/>
            <color indexed="81"/>
            <rFont val="Calibri"/>
            <family val="2"/>
            <scheme val="minor"/>
          </rPr>
          <t>his software is licensed for single-seat, non-transferable use.
    Unauthorized sale, duplication, or distribution is prohibited.</t>
        </r>
      </text>
    </comment>
  </commentList>
</comments>
</file>

<file path=xl/sharedStrings.xml><?xml version="1.0" encoding="utf-8"?>
<sst xmlns="http://schemas.openxmlformats.org/spreadsheetml/2006/main" count="593" uniqueCount="381">
  <si>
    <t>Balance Sheet</t>
  </si>
  <si>
    <t>Net Income</t>
  </si>
  <si>
    <t>Assets</t>
  </si>
  <si>
    <t>Income Statement</t>
  </si>
  <si>
    <t>EBIT</t>
  </si>
  <si>
    <t>Net Fixed Assets</t>
  </si>
  <si>
    <t>Rate</t>
  </si>
  <si>
    <t>Current Assets</t>
  </si>
  <si>
    <t>Current Liabilities</t>
  </si>
  <si>
    <t>Calculation</t>
  </si>
  <si>
    <t>Cash</t>
  </si>
  <si>
    <t>Assumptions</t>
  </si>
  <si>
    <t>Common Stock</t>
  </si>
  <si>
    <t>High</t>
  </si>
  <si>
    <t>Accounts Payable</t>
  </si>
  <si>
    <t>Seniority</t>
  </si>
  <si>
    <t>Inventory</t>
  </si>
  <si>
    <t>Liquidity</t>
  </si>
  <si>
    <t>Retained Earnings</t>
  </si>
  <si>
    <t>Gross Margin</t>
  </si>
  <si>
    <t>Balance</t>
  </si>
  <si>
    <t>CF</t>
  </si>
  <si>
    <t>Dividends</t>
  </si>
  <si>
    <t>Equity</t>
  </si>
  <si>
    <t>Depreciation</t>
  </si>
  <si>
    <t>∆ Plant &amp; Equip.</t>
  </si>
  <si>
    <t>Revenue</t>
  </si>
  <si>
    <t>This year</t>
  </si>
  <si>
    <t>Last year</t>
  </si>
  <si>
    <t>Salaries</t>
  </si>
  <si>
    <t>Rent</t>
  </si>
  <si>
    <t>R&amp;D</t>
  </si>
  <si>
    <t>Marketing</t>
  </si>
  <si>
    <t>Taxes</t>
  </si>
  <si>
    <t>Interest</t>
  </si>
  <si>
    <t>∆  Inventory</t>
  </si>
  <si>
    <t>∆  Accounts Payable</t>
  </si>
  <si>
    <t>Reported earnings</t>
  </si>
  <si>
    <t>Cost of Sales</t>
  </si>
  <si>
    <t>Long-term Debt</t>
  </si>
  <si>
    <t>Cash from Operations</t>
  </si>
  <si>
    <t>Cash from Financing</t>
  </si>
  <si>
    <t>Cash from Investing</t>
  </si>
  <si>
    <t>Plant &amp; Equip</t>
  </si>
  <si>
    <t>Accounts Rec</t>
  </si>
  <si>
    <t>Accum Deprec</t>
  </si>
  <si>
    <t>Future Value</t>
  </si>
  <si>
    <t>Present Value</t>
  </si>
  <si>
    <t>Cost of Capital</t>
  </si>
  <si>
    <t>Financial Statements</t>
  </si>
  <si>
    <t>Cash Flow Statement</t>
  </si>
  <si>
    <t>Company</t>
  </si>
  <si>
    <t>Total Assets</t>
  </si>
  <si>
    <t>Total Liabilities</t>
  </si>
  <si>
    <t>Total Equity</t>
  </si>
  <si>
    <t>Liabilities + Equity</t>
  </si>
  <si>
    <t>COGS</t>
  </si>
  <si>
    <t>Internal Rate of Return</t>
  </si>
  <si>
    <t>Financing</t>
  </si>
  <si>
    <t>info@ExcelModels.com</t>
  </si>
  <si>
    <t>info</t>
  </si>
  <si>
    <t>Lower</t>
  </si>
  <si>
    <t>Higher</t>
  </si>
  <si>
    <t>Owed to suppliers</t>
  </si>
  <si>
    <t>Due from customers</t>
  </si>
  <si>
    <t>Asset purchases</t>
  </si>
  <si>
    <t>Function</t>
  </si>
  <si>
    <t>L/T Debt</t>
  </si>
  <si>
    <t>User</t>
  </si>
  <si>
    <t>Inputs</t>
  </si>
  <si>
    <t>∑</t>
  </si>
  <si>
    <t>y = 1</t>
  </si>
  <si>
    <t>Yr</t>
  </si>
  <si>
    <t>Weighted cost</t>
  </si>
  <si>
    <t>Pct of total</t>
  </si>
  <si>
    <t>S/T Debt</t>
  </si>
  <si>
    <t>Short-term debt</t>
  </si>
  <si>
    <t>Long-term debt</t>
  </si>
  <si>
    <t>Preferred stock</t>
  </si>
  <si>
    <t>Credit line</t>
  </si>
  <si>
    <t>n</t>
  </si>
  <si>
    <t>Preferred Stock</t>
  </si>
  <si>
    <t>∆  Change in Preferred</t>
  </si>
  <si>
    <t>∆  Change in Common</t>
  </si>
  <si>
    <t>Factors</t>
  </si>
  <si>
    <t>10-yr Treasury</t>
  </si>
  <si>
    <t>Cash is King</t>
  </si>
  <si>
    <t>= Valuation</t>
  </si>
  <si>
    <t>Industry</t>
  </si>
  <si>
    <t>Crowd-sourced debt</t>
  </si>
  <si>
    <t>Operating Exp</t>
  </si>
  <si>
    <t>IRR</t>
  </si>
  <si>
    <t>FV</t>
  </si>
  <si>
    <t>Weighted Average Cost of Capital</t>
  </si>
  <si>
    <t>Derived</t>
  </si>
  <si>
    <t>Short-term Debt</t>
  </si>
  <si>
    <r>
      <t>CF</t>
    </r>
    <r>
      <rPr>
        <sz val="6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y</t>
    </r>
  </si>
  <si>
    <t>NPV</t>
  </si>
  <si>
    <t>"I'm taxed on the amount I contribute"</t>
  </si>
  <si>
    <t>"Income tax rates will fall by the time I retire"</t>
  </si>
  <si>
    <t>"I won't liquidate until I'm 59.5 years old"</t>
  </si>
  <si>
    <t>Formula</t>
  </si>
  <si>
    <t>Bond issue</t>
  </si>
  <si>
    <t>Paid-in-capital</t>
  </si>
  <si>
    <t>Common stock</t>
  </si>
  <si>
    <t>"My employer matches my contributions.  That's like free money"</t>
  </si>
  <si>
    <t>Buy a long-term CD instead. You'll earn a fixed rate and the penalty's cheaper</t>
  </si>
  <si>
    <t>Defined</t>
  </si>
  <si>
    <t>Investor-specific</t>
  </si>
  <si>
    <t>Estimated</t>
  </si>
  <si>
    <t>Bank Loan</t>
  </si>
  <si>
    <t>Established</t>
  </si>
  <si>
    <t>Debt</t>
  </si>
  <si>
    <t>Supplier</t>
  </si>
  <si>
    <t>Short</t>
  </si>
  <si>
    <t>Long</t>
  </si>
  <si>
    <t>Low</t>
  </si>
  <si>
    <t>A Swiss Army knife of information</t>
  </si>
  <si>
    <t>EBITDA</t>
  </si>
  <si>
    <t>EV</t>
  </si>
  <si>
    <t>Total</t>
  </si>
  <si>
    <t>Valuation</t>
  </si>
  <si>
    <t>"I need a 401k because it forces me to save"</t>
  </si>
  <si>
    <t>Enterprise Value</t>
  </si>
  <si>
    <t>40% of participants dip in early. If you're desperate for cash, you will too</t>
  </si>
  <si>
    <t>WACC</t>
  </si>
  <si>
    <t>Terminal</t>
  </si>
  <si>
    <t>Accretion</t>
  </si>
  <si>
    <t>So we're making bets now?  Vegas has better odds, plus you get free drinks</t>
  </si>
  <si>
    <t>Time is money</t>
  </si>
  <si>
    <t>Money is time</t>
  </si>
  <si>
    <t>Return is money over time</t>
  </si>
  <si>
    <t>Cap</t>
  </si>
  <si>
    <t>Price ratio</t>
  </si>
  <si>
    <t>Not such a bargain</t>
  </si>
  <si>
    <t>∆ Balance</t>
  </si>
  <si>
    <t>A stock earns 5.1%</t>
  </si>
  <si>
    <t>It sells for 1,000 in 4 years</t>
  </si>
  <si>
    <t>A stock sells for 1,000</t>
  </si>
  <si>
    <t>50/yr dividend</t>
  </si>
  <si>
    <t>50/yr dividend reinvested</t>
  </si>
  <si>
    <t>Scenario 2</t>
  </si>
  <si>
    <t>Scenario 1</t>
  </si>
  <si>
    <t>Scenario 3</t>
  </si>
  <si>
    <t>What is today's price?</t>
  </si>
  <si>
    <t>What is the price in 4 years?</t>
  </si>
  <si>
    <t>A stock costs 750</t>
  </si>
  <si>
    <t>Sell 25/yr</t>
  </si>
  <si>
    <t/>
  </si>
  <si>
    <t>Check</t>
  </si>
  <si>
    <t>PV CF</t>
  </si>
  <si>
    <t>Terminal Cash Flow</t>
  </si>
  <si>
    <t>Equity Value</t>
  </si>
  <si>
    <t>Bonds</t>
  </si>
  <si>
    <r>
      <t>Comparable</t>
    </r>
    <r>
      <rPr>
        <sz val="8"/>
        <rFont val="Calibri"/>
        <family val="2"/>
        <scheme val="minor"/>
      </rPr>
      <t xml:space="preserve">  </t>
    </r>
    <r>
      <rPr>
        <sz val="10"/>
        <rFont val="Calibri"/>
        <family val="2"/>
        <scheme val="minor"/>
      </rPr>
      <t>A</t>
    </r>
  </si>
  <si>
    <r>
      <t>Comparable</t>
    </r>
    <r>
      <rPr>
        <sz val="8"/>
        <rFont val="Calibri"/>
        <family val="2"/>
        <scheme val="minor"/>
      </rPr>
      <t xml:space="preserve">  </t>
    </r>
    <r>
      <rPr>
        <sz val="10"/>
        <rFont val="Calibri"/>
        <family val="2"/>
        <scheme val="minor"/>
      </rPr>
      <t>B</t>
    </r>
  </si>
  <si>
    <r>
      <t>Comparable</t>
    </r>
    <r>
      <rPr>
        <sz val="8"/>
        <rFont val="Calibri"/>
        <family val="2"/>
        <scheme val="minor"/>
      </rPr>
      <t xml:space="preserve">  </t>
    </r>
    <r>
      <rPr>
        <sz val="10"/>
        <rFont val="Calibri"/>
        <family val="2"/>
        <scheme val="minor"/>
      </rPr>
      <t>C</t>
    </r>
  </si>
  <si>
    <t>Indefinite</t>
  </si>
  <si>
    <t>Next</t>
  </si>
  <si>
    <t>Common misconceptions</t>
  </si>
  <si>
    <t>It earns a 5.1% return rate</t>
  </si>
  <si>
    <t>Year</t>
  </si>
  <si>
    <t>Value</t>
  </si>
  <si>
    <t>Capital flow</t>
  </si>
  <si>
    <t>Credit</t>
  </si>
  <si>
    <t>Example</t>
  </si>
  <si>
    <t>Factory</t>
  </si>
  <si>
    <t>Turnover</t>
  </si>
  <si>
    <t>Visa, LOC</t>
  </si>
  <si>
    <t>Liabilities</t>
  </si>
  <si>
    <t>Loan, Bond</t>
  </si>
  <si>
    <t>Seed, IPO</t>
  </si>
  <si>
    <t>How Much</t>
  </si>
  <si>
    <t>Small turnover</t>
  </si>
  <si>
    <t>Large investment</t>
  </si>
  <si>
    <t>Small obligations</t>
  </si>
  <si>
    <t>Large obligations</t>
  </si>
  <si>
    <t>Largest residual</t>
  </si>
  <si>
    <t>Is our cash balance correct?</t>
  </si>
  <si>
    <t>The financial statements of the future</t>
  </si>
  <si>
    <t xml:space="preserve"> </t>
  </si>
  <si>
    <t>Last</t>
  </si>
  <si>
    <t>This</t>
  </si>
  <si>
    <r>
      <rPr>
        <sz val="9"/>
        <rFont val="Calibri"/>
        <family val="2"/>
        <scheme val="minor"/>
      </rPr>
      <t xml:space="preserve">●  </t>
    </r>
    <r>
      <rPr>
        <sz val="11"/>
        <rFont val="Calibri"/>
        <family val="2"/>
        <scheme val="minor"/>
      </rPr>
      <t>Cash flow is objective. Unlike earnings, it cannot be fudged</t>
    </r>
  </si>
  <si>
    <r>
      <rPr>
        <sz val="9"/>
        <rFont val="Calibri"/>
        <family val="2"/>
        <scheme val="minor"/>
      </rPr>
      <t xml:space="preserve">●  </t>
    </r>
    <r>
      <rPr>
        <sz val="11"/>
        <rFont val="Calibri"/>
        <family val="2"/>
        <scheme val="minor"/>
      </rPr>
      <t xml:space="preserve">WACC incorporates company-specific capital structure </t>
    </r>
    <r>
      <rPr>
        <sz val="9"/>
        <rFont val="Calibri"/>
        <family val="2"/>
        <scheme val="minor"/>
      </rPr>
      <t>&amp;</t>
    </r>
    <r>
      <rPr>
        <sz val="11"/>
        <rFont val="Calibri"/>
        <family val="2"/>
        <scheme val="minor"/>
      </rPr>
      <t xml:space="preserve"> risk</t>
    </r>
  </si>
  <si>
    <t>What do we possess and who paid for it?</t>
  </si>
  <si>
    <t>Algebraic
formula</t>
  </si>
  <si>
    <t>What is the Return Rate?</t>
  </si>
  <si>
    <t>50/yr dividend, reinvested</t>
  </si>
  <si>
    <t>Ok this is true... for the matched amount. Deposit that, and not a penny more</t>
  </si>
  <si>
    <r>
      <t>Cash In/</t>
    </r>
    <r>
      <rPr>
        <sz val="10"/>
        <color rgb="FFFF0000"/>
        <rFont val="Calibri"/>
        <family val="2"/>
        <scheme val="minor"/>
      </rPr>
      <t>Out</t>
    </r>
  </si>
  <si>
    <t>CFN * ( 1 + Term %)</t>
  </si>
  <si>
    <t>( WACC – Term % )</t>
  </si>
  <si>
    <t>You're taxed on your withdrawals - years later, when your tax base has grown</t>
  </si>
  <si>
    <t>Return rate</t>
  </si>
  <si>
    <t>Assumption</t>
  </si>
  <si>
    <t>% of sales</t>
  </si>
  <si>
    <t>Adjust. to Net Income</t>
  </si>
  <si>
    <t>Owed to S/T lenders</t>
  </si>
  <si>
    <t>Owed to L/T lenders</t>
  </si>
  <si>
    <t>Rec'd from investors</t>
  </si>
  <si>
    <t>Paid to shareholders</t>
  </si>
  <si>
    <t>Bought raw materials</t>
  </si>
  <si>
    <t>Add non-cash expense</t>
  </si>
  <si>
    <t>-</t>
  </si>
  <si>
    <t>∆  Accounts Recv</t>
  </si>
  <si>
    <t>Components</t>
  </si>
  <si>
    <t xml:space="preserve"> Description</t>
  </si>
  <si>
    <t>Current</t>
  </si>
  <si>
    <r>
      <t>=</t>
    </r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IRR</t>
    </r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</t>
    </r>
    <r>
      <rPr>
        <sz val="6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−CF</t>
    </r>
    <r>
      <rPr>
        <sz val="9.5"/>
        <color rgb="FFFF0000"/>
        <rFont val="Calibri"/>
        <family val="2"/>
        <scheme val="minor"/>
      </rPr>
      <t>0</t>
    </r>
    <r>
      <rPr>
        <sz val="6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:</t>
    </r>
    <r>
      <rPr>
        <sz val="6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CF</t>
    </r>
    <r>
      <rPr>
        <sz val="9.5"/>
        <rFont val="Calibri"/>
        <family val="2"/>
        <scheme val="minor"/>
      </rPr>
      <t>N</t>
    </r>
    <r>
      <rPr>
        <sz val="6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)</t>
    </r>
  </si>
  <si>
    <r>
      <t>=</t>
    </r>
    <r>
      <rPr>
        <sz val="6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NPV</t>
    </r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</t>
    </r>
    <r>
      <rPr>
        <sz val="6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rate,</t>
    </r>
    <r>
      <rPr>
        <sz val="8"/>
        <rFont val="Calibri"/>
        <family val="2"/>
        <scheme val="minor"/>
      </rPr>
      <t xml:space="preserve">  </t>
    </r>
    <r>
      <rPr>
        <sz val="11"/>
        <rFont val="Calibri"/>
        <family val="2"/>
        <scheme val="minor"/>
      </rPr>
      <t>CF</t>
    </r>
    <r>
      <rPr>
        <sz val="9.5"/>
        <rFont val="Calibri"/>
        <family val="2"/>
        <scheme val="minor"/>
      </rPr>
      <t>1</t>
    </r>
    <r>
      <rPr>
        <sz val="6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:</t>
    </r>
    <r>
      <rPr>
        <sz val="6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CF</t>
    </r>
    <r>
      <rPr>
        <sz val="9.5"/>
        <rFont val="Calibri"/>
        <family val="2"/>
        <scheme val="minor"/>
      </rPr>
      <t>N</t>
    </r>
    <r>
      <rPr>
        <sz val="6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)</t>
    </r>
  </si>
  <si>
    <r>
      <t>=</t>
    </r>
    <r>
      <rPr>
        <sz val="6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PV</t>
    </r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</t>
    </r>
    <r>
      <rPr>
        <sz val="6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rate,</t>
    </r>
    <r>
      <rPr>
        <sz val="8"/>
        <rFont val="Calibri"/>
        <family val="2"/>
        <scheme val="minor"/>
      </rPr>
      <t xml:space="preserve">  </t>
    </r>
    <r>
      <rPr>
        <sz val="10"/>
        <rFont val="Calibri"/>
        <family val="2"/>
        <scheme val="minor"/>
      </rPr>
      <t>nper,</t>
    </r>
    <r>
      <rPr>
        <sz val="4"/>
        <rFont val="Calibri"/>
        <family val="2"/>
        <scheme val="minor"/>
      </rPr>
      <t xml:space="preserve">  </t>
    </r>
    <r>
      <rPr>
        <sz val="10"/>
        <rFont val="Calibri"/>
        <family val="2"/>
        <scheme val="minor"/>
      </rPr>
      <t>pmt,</t>
    </r>
    <r>
      <rPr>
        <sz val="8"/>
        <rFont val="Calibri"/>
        <family val="2"/>
        <scheme val="minor"/>
      </rPr>
      <t xml:space="preserve">  </t>
    </r>
    <r>
      <rPr>
        <sz val="10"/>
        <rFont val="Calibri"/>
        <family val="2"/>
        <scheme val="minor"/>
      </rPr>
      <t>fv</t>
    </r>
    <r>
      <rPr>
        <sz val="6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)</t>
    </r>
  </si>
  <si>
    <r>
      <t>=</t>
    </r>
    <r>
      <rPr>
        <sz val="6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FV</t>
    </r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</t>
    </r>
    <r>
      <rPr>
        <sz val="6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rate,</t>
    </r>
    <r>
      <rPr>
        <sz val="8"/>
        <rFont val="Calibri"/>
        <family val="2"/>
        <scheme val="minor"/>
      </rPr>
      <t xml:space="preserve">  </t>
    </r>
    <r>
      <rPr>
        <sz val="10"/>
        <rFont val="Calibri"/>
        <family val="2"/>
        <scheme val="minor"/>
      </rPr>
      <t>nper,</t>
    </r>
    <r>
      <rPr>
        <sz val="8"/>
        <rFont val="Calibri"/>
        <family val="2"/>
        <scheme val="minor"/>
      </rPr>
      <t xml:space="preserve">  </t>
    </r>
    <r>
      <rPr>
        <sz val="10"/>
        <rFont val="Calibri"/>
        <family val="2"/>
        <scheme val="minor"/>
      </rPr>
      <t>pmt,</t>
    </r>
    <r>
      <rPr>
        <sz val="8"/>
        <rFont val="Calibri"/>
        <family val="2"/>
        <scheme val="minor"/>
      </rPr>
      <t xml:space="preserve">  </t>
    </r>
    <r>
      <rPr>
        <sz val="10"/>
        <rFont val="Calibri"/>
        <family val="2"/>
        <scheme val="minor"/>
      </rPr>
      <t>pv</t>
    </r>
    <r>
      <rPr>
        <sz val="6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)</t>
    </r>
  </si>
  <si>
    <t>Pro Formas</t>
  </si>
  <si>
    <t>Fixed</t>
  </si>
  <si>
    <t>Long-term</t>
  </si>
  <si>
    <t>All</t>
  </si>
  <si>
    <t>A recap, a lay of the land, and an audit</t>
  </si>
  <si>
    <t>WACC is the return rate that covers the cost of capital from all sources</t>
  </si>
  <si>
    <t>Depending on the account, companies use four drivers to generate estimates for subsequent periods</t>
  </si>
  <si>
    <t>Unchanged</t>
  </si>
  <si>
    <r>
      <t>S</t>
    </r>
    <r>
      <rPr>
        <sz val="4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&amp;</t>
    </r>
    <r>
      <rPr>
        <sz val="4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P 500</t>
    </r>
  </si>
  <si>
    <t>Investment</t>
  </si>
  <si>
    <t>Spending</t>
  </si>
  <si>
    <r>
      <rPr>
        <sz val="9"/>
        <rFont val="Calibri"/>
        <family val="2"/>
        <scheme val="minor"/>
      </rPr>
      <t xml:space="preserve">●  </t>
    </r>
    <r>
      <rPr>
        <sz val="11"/>
        <rFont val="Calibri"/>
        <family val="2"/>
        <scheme val="minor"/>
      </rPr>
      <t>Price/Earnings offers a shorthand for gauging relative value</t>
    </r>
  </si>
  <si>
    <t>Metric x Ratio</t>
  </si>
  <si>
    <t xml:space="preserve"> This year</t>
  </si>
  <si>
    <t>Change in Preferred</t>
  </si>
  <si>
    <t>Change in Common</t>
  </si>
  <si>
    <r>
      <t>Estimating Return on Equity</t>
    </r>
    <r>
      <rPr>
        <sz val="10"/>
        <rFont val="Calibri"/>
        <family val="2"/>
        <scheme val="minor"/>
      </rPr>
      <t>: Capital Asset Pricing Model</t>
    </r>
  </si>
  <si>
    <r>
      <rPr>
        <sz val="12"/>
        <rFont val="Calibri"/>
        <family val="2"/>
        <scheme val="minor"/>
      </rPr>
      <t>PV</t>
    </r>
    <r>
      <rPr>
        <sz val="6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</t>
    </r>
    <r>
      <rPr>
        <sz val="6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)</t>
    </r>
    <r>
      <rPr>
        <sz val="1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and</t>
    </r>
    <r>
      <rPr>
        <sz val="1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NPV</t>
    </r>
    <r>
      <rPr>
        <sz val="6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</t>
    </r>
    <r>
      <rPr>
        <sz val="6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)</t>
    </r>
    <r>
      <rPr>
        <sz val="1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calculate the present value of a series of future cash flows</t>
    </r>
  </si>
  <si>
    <r>
      <rPr>
        <sz val="12"/>
        <rFont val="Calibri"/>
        <family val="2"/>
        <scheme val="minor"/>
      </rPr>
      <t>IRR</t>
    </r>
    <r>
      <rPr>
        <sz val="6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</t>
    </r>
    <r>
      <rPr>
        <sz val="6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)</t>
    </r>
    <r>
      <rPr>
        <sz val="1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calculates the return rate of an initial investment and a series of future cash flows</t>
    </r>
  </si>
  <si>
    <r>
      <rPr>
        <sz val="12"/>
        <rFont val="Calibri"/>
        <family val="2"/>
        <scheme val="minor"/>
      </rPr>
      <t>FV</t>
    </r>
    <r>
      <rPr>
        <sz val="6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</t>
    </r>
    <r>
      <rPr>
        <sz val="6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)</t>
    </r>
    <r>
      <rPr>
        <sz val="1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calculates the future value of a series of future cash flows</t>
    </r>
  </si>
  <si>
    <t>Money costs money</t>
  </si>
  <si>
    <r>
      <rPr>
        <sz val="9"/>
        <rFont val="Calibri"/>
        <family val="2"/>
        <scheme val="minor"/>
      </rPr>
      <t xml:space="preserve">●  </t>
    </r>
    <r>
      <rPr>
        <sz val="11"/>
        <rFont val="Calibri"/>
        <family val="2"/>
        <scheme val="minor"/>
      </rPr>
      <t>Applies a Terminal Value to account for future growth</t>
    </r>
  </si>
  <si>
    <t>+</t>
  </si>
  <si>
    <t>Date bond is issued</t>
  </si>
  <si>
    <t>Date bond is redeemed</t>
  </si>
  <si>
    <t>Advanced setting - use 100</t>
  </si>
  <si>
    <t>Fractional coupon pmts/yr</t>
  </si>
  <si>
    <t>Annual coupon</t>
  </si>
  <si>
    <t>???</t>
  </si>
  <si>
    <t>Valuations are estimates because cash forecasts and RoE calculations are imprecise</t>
  </si>
  <si>
    <t>As price falls, a bond becomes riskier to hold and must offer higher returns to attract buyers</t>
  </si>
  <si>
    <t xml:space="preserve">The same return divided by a progressively lower price generates increasing yields </t>
  </si>
  <si>
    <r>
      <rPr>
        <b/>
        <sz val="10"/>
        <color rgb="FFC00000"/>
        <rFont val="Calibri"/>
        <family val="2"/>
        <scheme val="minor"/>
      </rPr>
      <t>ASSUMPTIONS</t>
    </r>
    <r>
      <rPr>
        <sz val="10"/>
        <rFont val="Calibri"/>
        <family val="2"/>
        <scheme val="minor"/>
      </rPr>
      <t xml:space="preserve"> provided by other departments, historical </t>
    </r>
    <r>
      <rPr>
        <b/>
        <sz val="10"/>
        <color rgb="FF00009E"/>
        <rFont val="Calibri"/>
        <family val="2"/>
        <scheme val="minor"/>
      </rPr>
      <t>PERCENT of SALES</t>
    </r>
    <r>
      <rPr>
        <sz val="10"/>
        <rFont val="Calibri"/>
        <family val="2"/>
        <scheme val="minor"/>
      </rPr>
      <t xml:space="preserve">, </t>
    </r>
    <r>
      <rPr>
        <b/>
        <sz val="10"/>
        <color rgb="FFC07200"/>
        <rFont val="Calibri"/>
        <family val="2"/>
        <scheme val="minor"/>
      </rPr>
      <t>DERIVED</t>
    </r>
    <r>
      <rPr>
        <sz val="10"/>
        <rFont val="Calibri"/>
        <family val="2"/>
        <scheme val="minor"/>
      </rPr>
      <t xml:space="preserve"> from other accounts, or </t>
    </r>
    <r>
      <rPr>
        <b/>
        <sz val="10"/>
        <color rgb="FF006800"/>
        <rFont val="Calibri"/>
        <family val="2"/>
        <scheme val="minor"/>
      </rPr>
      <t>UNCHANGED</t>
    </r>
  </si>
  <si>
    <t>An asset is worth what someone will pay. Companies pay by borrowing money and selling shares. Assets = Liabilities + Equity</t>
  </si>
  <si>
    <t>Earnings</t>
  </si>
  <si>
    <r>
      <rPr>
        <sz val="9"/>
        <rFont val="Calibri"/>
        <family val="2"/>
        <scheme val="minor"/>
      </rPr>
      <t xml:space="preserve">●  </t>
    </r>
    <r>
      <rPr>
        <sz val="11"/>
        <rFont val="Calibri"/>
        <family val="2"/>
        <scheme val="minor"/>
      </rPr>
      <t>EV/EBITDA measures performance exclusive of capital structure</t>
    </r>
  </si>
  <si>
    <r>
      <rPr>
        <sz val="9"/>
        <rFont val="Calibri"/>
        <family val="2"/>
        <scheme val="minor"/>
      </rPr>
      <t xml:space="preserve">●  </t>
    </r>
    <r>
      <rPr>
        <sz val="11"/>
        <rFont val="Calibri"/>
        <family val="2"/>
        <scheme val="minor"/>
      </rPr>
      <t xml:space="preserve">Applies an industry composite to a company's own performance </t>
    </r>
  </si>
  <si>
    <r>
      <rPr>
        <sz val="9.5"/>
        <rFont val="Calibri"/>
        <family val="2"/>
        <scheme val="minor"/>
      </rPr>
      <t>(</t>
    </r>
    <r>
      <rPr>
        <sz val="4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1</t>
    </r>
    <r>
      <rPr>
        <sz val="4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+</t>
    </r>
    <r>
      <rPr>
        <sz val="4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rate</t>
    </r>
    <r>
      <rPr>
        <sz val="4"/>
        <rFont val="Calibri"/>
        <family val="2"/>
        <scheme val="minor"/>
      </rPr>
      <t xml:space="preserve"> </t>
    </r>
    <r>
      <rPr>
        <sz val="9.5"/>
        <rFont val="Calibri"/>
        <family val="2"/>
        <scheme val="minor"/>
      </rPr>
      <t>)</t>
    </r>
    <r>
      <rPr>
        <sz val="4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^</t>
    </r>
    <r>
      <rPr>
        <sz val="4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y</t>
    </r>
  </si>
  <si>
    <t>one payment</t>
  </si>
  <si>
    <t>Price</t>
  </si>
  <si>
    <t>sale - purchase</t>
  </si>
  <si>
    <t>par - current</t>
  </si>
  <si>
    <t>all remaining</t>
  </si>
  <si>
    <t>total collected</t>
  </si>
  <si>
    <t>Realized</t>
  </si>
  <si>
    <t xml:space="preserve">Bonds are units of debt used in large-scale borrowing. They pay interest and trade publicly </t>
  </si>
  <si>
    <t xml:space="preserve">The Balance Sheet is a map of company resources: </t>
  </si>
  <si>
    <r>
      <rPr>
        <sz val="10"/>
        <color theme="1"/>
        <rFont val="Calibri"/>
        <family val="2"/>
        <scheme val="minor"/>
      </rPr>
      <t>●</t>
    </r>
    <r>
      <rPr>
        <sz val="9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Accounts are </t>
    </r>
    <r>
      <rPr>
        <b/>
        <sz val="11"/>
        <color theme="1"/>
        <rFont val="Calibri"/>
        <family val="2"/>
        <scheme val="minor"/>
      </rPr>
      <t>sorted into groups</t>
    </r>
    <r>
      <rPr>
        <sz val="11"/>
        <color theme="1"/>
        <rFont val="Calibri"/>
        <family val="2"/>
        <scheme val="minor"/>
      </rPr>
      <t xml:space="preserve"> - Assets, Liabilities, or Equity - based on how capital is held and deployed</t>
    </r>
  </si>
  <si>
    <r>
      <rPr>
        <sz val="10"/>
        <color theme="1"/>
        <rFont val="Calibri"/>
        <family val="2"/>
        <scheme val="minor"/>
      </rPr>
      <t>●</t>
    </r>
    <r>
      <rPr>
        <sz val="9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Within each group, accounts are </t>
    </r>
    <r>
      <rPr>
        <b/>
        <sz val="11"/>
        <color theme="1"/>
        <rFont val="Calibri"/>
        <family val="2"/>
        <scheme val="minor"/>
      </rPr>
      <t>listed in a specific order</t>
    </r>
    <r>
      <rPr>
        <sz val="11"/>
        <color theme="1"/>
        <rFont val="Calibri"/>
        <family val="2"/>
        <scheme val="minor"/>
      </rPr>
      <t xml:space="preserve"> based on a series of shared characteristics</t>
    </r>
  </si>
  <si>
    <t>Capital Structure</t>
  </si>
  <si>
    <t>– Debt</t>
  </si>
  <si>
    <t>= Eq value</t>
  </si>
  <si>
    <t>Ent. value</t>
  </si>
  <si>
    <t>Tax rate</t>
  </si>
  <si>
    <t>Sales</t>
  </si>
  <si>
    <t>Borrow S/T</t>
  </si>
  <si>
    <t>(Repay L/T)</t>
  </si>
  <si>
    <r>
      <t xml:space="preserve">  (</t>
    </r>
    <r>
      <rPr>
        <i/>
        <sz val="9"/>
        <rFont val="Calibri"/>
        <family val="2"/>
        <scheme val="minor"/>
      </rPr>
      <t>Multiply output by 10</t>
    </r>
    <r>
      <rPr>
        <sz val="9"/>
        <rFont val="Calibri"/>
        <family val="2"/>
        <scheme val="minor"/>
      </rPr>
      <t>)</t>
    </r>
  </si>
  <si>
    <r>
      <rPr>
        <sz val="9"/>
        <rFont val="Calibri"/>
        <family val="2"/>
        <scheme val="minor"/>
      </rPr>
      <t xml:space="preserve">  (</t>
    </r>
    <r>
      <rPr>
        <i/>
        <sz val="9"/>
        <rFont val="Calibri"/>
        <family val="2"/>
        <scheme val="minor"/>
      </rPr>
      <t>Divide price parameter by 10</t>
    </r>
    <r>
      <rPr>
        <sz val="9"/>
        <rFont val="Calibri"/>
        <family val="2"/>
        <scheme val="minor"/>
      </rPr>
      <t>)</t>
    </r>
  </si>
  <si>
    <t>Settlement</t>
  </si>
  <si>
    <t>Maturity</t>
  </si>
  <si>
    <t>Redemption</t>
  </si>
  <si>
    <t>Frequency</t>
  </si>
  <si>
    <t>Short-term rate</t>
  </si>
  <si>
    <t>Long-term rate</t>
  </si>
  <si>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*</t>
    </r>
  </si>
  <si>
    <t xml:space="preserve">  =</t>
  </si>
  <si>
    <t xml:space="preserve"> *</t>
  </si>
  <si>
    <t xml:space="preserve"> Short-term debt</t>
  </si>
  <si>
    <t>n/a</t>
  </si>
  <si>
    <t xml:space="preserve">YTM </t>
  </si>
  <si>
    <t>Bond Functions</t>
  </si>
  <si>
    <t>Penalty rate</t>
  </si>
  <si>
    <t>Examples:</t>
  </si>
  <si>
    <t>Payout:</t>
  </si>
  <si>
    <t>Return rate:</t>
  </si>
  <si>
    <t>Cost:</t>
  </si>
  <si>
    <t>β = 1: Price volitily equals market volitility</t>
  </si>
  <si>
    <t>β = 2: Price volitility is twice that of the market</t>
  </si>
  <si>
    <r>
      <t xml:space="preserve">β = </t>
    </r>
    <r>
      <rPr>
        <sz val="10"/>
        <color rgb="FFFF0000"/>
        <rFont val="Calibri"/>
        <family val="2"/>
        <scheme val="minor"/>
      </rPr>
      <t>−1</t>
    </r>
    <r>
      <rPr>
        <sz val="10"/>
        <rFont val="Calibri"/>
        <family val="2"/>
        <scheme val="minor"/>
      </rPr>
      <t>: Price volitility is inversely correlated, etc.</t>
    </r>
  </si>
  <si>
    <t>= Risk-free rate  +   β * Market premium</t>
  </si>
  <si>
    <t>β of stock</t>
  </si>
  <si>
    <r>
      <rPr>
        <sz val="10"/>
        <rFont val="Calibri"/>
        <family val="2"/>
        <scheme val="minor"/>
      </rPr>
      <t xml:space="preserve">+ </t>
    </r>
    <r>
      <rPr>
        <u/>
        <sz val="10"/>
        <rFont val="Calibri"/>
        <family val="2"/>
        <scheme val="minor"/>
      </rPr>
      <t>Cash</t>
    </r>
  </si>
  <si>
    <t xml:space="preserve"> PV</t>
  </si>
  <si>
    <t xml:space="preserve">    PV</t>
  </si>
  <si>
    <t>Timeframe:</t>
  </si>
  <si>
    <t>Calc</t>
  </si>
  <si>
    <t>current price</t>
  </si>
  <si>
    <t>purchase price</t>
  </si>
  <si>
    <t>/</t>
  </si>
  <si>
    <r>
      <t>= PRICE (</t>
    </r>
    <r>
      <rPr>
        <sz val="9.5"/>
        <color theme="1"/>
        <rFont val="Calibri"/>
        <family val="2"/>
        <scheme val="minor"/>
      </rPr>
      <t>settle, mature, rate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rgb="FF006800"/>
        <rFont val="Calibri"/>
        <family val="2"/>
        <scheme val="minor"/>
      </rPr>
      <t>Yield</t>
    </r>
    <r>
      <rPr>
        <sz val="10"/>
        <color theme="1"/>
        <rFont val="Calibri"/>
        <family val="2"/>
        <scheme val="minor"/>
      </rPr>
      <t xml:space="preserve">, </t>
    </r>
    <r>
      <rPr>
        <sz val="9.5"/>
        <color theme="1"/>
        <rFont val="Calibri"/>
        <family val="2"/>
        <scheme val="minor"/>
      </rPr>
      <t>redemp, freq</t>
    </r>
    <r>
      <rPr>
        <sz val="10"/>
        <color theme="1"/>
        <rFont val="Calibri"/>
        <family val="2"/>
        <scheme val="minor"/>
      </rPr>
      <t>)</t>
    </r>
  </si>
  <si>
    <r>
      <t>= YIELD (</t>
    </r>
    <r>
      <rPr>
        <sz val="9.5"/>
        <rFont val="Calibri"/>
        <family val="2"/>
        <scheme val="minor"/>
      </rPr>
      <t>settle, mature, rate</t>
    </r>
    <r>
      <rPr>
        <sz val="10"/>
        <rFont val="Calibri"/>
        <family val="2"/>
        <scheme val="minor"/>
      </rPr>
      <t xml:space="preserve">, </t>
    </r>
    <r>
      <rPr>
        <b/>
        <sz val="10"/>
        <color rgb="FFC00000"/>
        <rFont val="Calibri"/>
        <family val="2"/>
        <scheme val="minor"/>
      </rPr>
      <t>Price</t>
    </r>
    <r>
      <rPr>
        <sz val="10"/>
        <rFont val="Calibri"/>
        <family val="2"/>
        <scheme val="minor"/>
      </rPr>
      <t xml:space="preserve">/10, </t>
    </r>
    <r>
      <rPr>
        <sz val="9.5"/>
        <rFont val="Calibri"/>
        <family val="2"/>
        <scheme val="minor"/>
      </rPr>
      <t>redemp, freq</t>
    </r>
    <r>
      <rPr>
        <sz val="10"/>
        <rFont val="Calibri"/>
        <family val="2"/>
        <scheme val="minor"/>
      </rPr>
      <t>)</t>
    </r>
  </si>
  <si>
    <t>RoE</t>
  </si>
  <si>
    <t>PV a</t>
  </si>
  <si>
    <t>PV b</t>
  </si>
  <si>
    <t>PV in</t>
  </si>
  <si>
    <t>A 401 k is a glorified savings account.  It doesn't lower your taxes - it defers them</t>
  </si>
  <si>
    <t>= Debt / ( Debt + Equity ) * COD   +   Equity / ( Debt + Equity ) * ROE</t>
  </si>
  <si>
    <t>●  The risk-free rate found in U.S. Treasuries</t>
  </si>
  <si>
    <t>●  The overall return of the stock market</t>
  </si>
  <si>
    <r>
      <t xml:space="preserve">●  A stock's relative risk, expressed as "beta" 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β</t>
    </r>
  </si>
  <si>
    <r>
      <t>Weighted Average Cost of Capital</t>
    </r>
    <r>
      <rPr>
        <sz val="10"/>
        <color rgb="FF00007E"/>
        <rFont val="Calibri"/>
        <family val="2"/>
        <scheme val="minor"/>
      </rPr>
      <t xml:space="preserve"> (</t>
    </r>
    <r>
      <rPr>
        <b/>
        <sz val="10"/>
        <color rgb="FF00007E"/>
        <rFont val="Calibri"/>
        <family val="2"/>
        <scheme val="minor"/>
      </rPr>
      <t>WACC</t>
    </r>
    <r>
      <rPr>
        <sz val="6"/>
        <color rgb="FF00007E"/>
        <rFont val="Calibri"/>
        <family val="2"/>
        <scheme val="minor"/>
      </rPr>
      <t xml:space="preserve"> </t>
    </r>
    <r>
      <rPr>
        <sz val="10"/>
        <color rgb="FF00007E"/>
        <rFont val="Calibri"/>
        <family val="2"/>
        <scheme val="minor"/>
      </rPr>
      <t>)</t>
    </r>
    <r>
      <rPr>
        <sz val="10"/>
        <rFont val="Calibri"/>
        <family val="2"/>
        <scheme val="minor"/>
      </rPr>
      <t>: Minimum necessary return</t>
    </r>
  </si>
  <si>
    <r>
      <rPr>
        <b/>
        <sz val="10"/>
        <color rgb="FF00007E"/>
        <rFont val="Calibri"/>
        <family val="2"/>
        <scheme val="minor"/>
      </rPr>
      <t>NPV</t>
    </r>
    <r>
      <rPr>
        <sz val="6"/>
        <color rgb="FF00007E"/>
        <rFont val="Calibri"/>
        <family val="2"/>
        <scheme val="minor"/>
      </rPr>
      <t xml:space="preserve"> </t>
    </r>
    <r>
      <rPr>
        <sz val="9.5"/>
        <color rgb="FF00007E"/>
        <rFont val="Calibri"/>
        <family val="2"/>
        <scheme val="minor"/>
      </rPr>
      <t>(</t>
    </r>
    <r>
      <rPr>
        <sz val="6"/>
        <color rgb="FF00007E"/>
        <rFont val="Calibri"/>
        <family val="2"/>
        <scheme val="minor"/>
      </rPr>
      <t xml:space="preserve"> </t>
    </r>
    <r>
      <rPr>
        <sz val="9.5"/>
        <color rgb="FF00007E"/>
        <rFont val="Calibri"/>
        <family val="2"/>
        <scheme val="minor"/>
      </rPr>
      <t>)</t>
    </r>
    <r>
      <rPr>
        <b/>
        <sz val="11"/>
        <color rgb="FF00007E"/>
        <rFont val="Calibri"/>
        <family val="2"/>
        <scheme val="minor"/>
      </rPr>
      <t xml:space="preserve"> </t>
    </r>
    <r>
      <rPr>
        <b/>
        <sz val="10"/>
        <color rgb="FF00007E"/>
        <rFont val="Calibri"/>
        <family val="2"/>
        <scheme val="minor"/>
      </rPr>
      <t>function</t>
    </r>
  </si>
  <si>
    <r>
      <rPr>
        <b/>
        <sz val="10"/>
        <color rgb="FF00007E"/>
        <rFont val="Calibri"/>
        <family val="2"/>
        <scheme val="minor"/>
      </rPr>
      <t>PV</t>
    </r>
    <r>
      <rPr>
        <sz val="6"/>
        <color rgb="FF00007E"/>
        <rFont val="Calibri"/>
        <family val="2"/>
        <scheme val="minor"/>
      </rPr>
      <t xml:space="preserve"> </t>
    </r>
    <r>
      <rPr>
        <sz val="9.5"/>
        <color rgb="FF00007E"/>
        <rFont val="Calibri"/>
        <family val="2"/>
        <scheme val="minor"/>
      </rPr>
      <t>(</t>
    </r>
    <r>
      <rPr>
        <sz val="6"/>
        <color rgb="FF00007E"/>
        <rFont val="Calibri"/>
        <family val="2"/>
        <scheme val="minor"/>
      </rPr>
      <t xml:space="preserve"> </t>
    </r>
    <r>
      <rPr>
        <sz val="9.5"/>
        <color rgb="FF00007E"/>
        <rFont val="Calibri"/>
        <family val="2"/>
        <scheme val="minor"/>
      </rPr>
      <t>)</t>
    </r>
    <r>
      <rPr>
        <b/>
        <sz val="11"/>
        <color rgb="FF00007E"/>
        <rFont val="Calibri"/>
        <family val="2"/>
        <scheme val="minor"/>
      </rPr>
      <t xml:space="preserve"> </t>
    </r>
    <r>
      <rPr>
        <b/>
        <sz val="10"/>
        <color rgb="FF00007E"/>
        <rFont val="Calibri"/>
        <family val="2"/>
        <scheme val="minor"/>
      </rPr>
      <t>function</t>
    </r>
  </si>
  <si>
    <r>
      <rPr>
        <b/>
        <sz val="10"/>
        <color rgb="FF00007E"/>
        <rFont val="Calibri"/>
        <family val="2"/>
        <scheme val="minor"/>
      </rPr>
      <t>FV</t>
    </r>
    <r>
      <rPr>
        <sz val="6"/>
        <color rgb="FF00007E"/>
        <rFont val="Calibri"/>
        <family val="2"/>
        <scheme val="minor"/>
      </rPr>
      <t xml:space="preserve"> </t>
    </r>
    <r>
      <rPr>
        <sz val="9.5"/>
        <color rgb="FF00007E"/>
        <rFont val="Calibri"/>
        <family val="2"/>
        <scheme val="minor"/>
      </rPr>
      <t>(</t>
    </r>
    <r>
      <rPr>
        <sz val="6"/>
        <color rgb="FF00007E"/>
        <rFont val="Calibri"/>
        <family val="2"/>
        <scheme val="minor"/>
      </rPr>
      <t xml:space="preserve"> </t>
    </r>
    <r>
      <rPr>
        <sz val="9.5"/>
        <color rgb="FF00007E"/>
        <rFont val="Calibri"/>
        <family val="2"/>
        <scheme val="minor"/>
      </rPr>
      <t>)</t>
    </r>
    <r>
      <rPr>
        <b/>
        <sz val="11"/>
        <color rgb="FF00007E"/>
        <rFont val="Calibri"/>
        <family val="2"/>
        <scheme val="minor"/>
      </rPr>
      <t xml:space="preserve"> </t>
    </r>
    <r>
      <rPr>
        <b/>
        <sz val="10"/>
        <color rgb="FF00007E"/>
        <rFont val="Calibri"/>
        <family val="2"/>
        <scheme val="minor"/>
      </rPr>
      <t>function</t>
    </r>
  </si>
  <si>
    <r>
      <rPr>
        <b/>
        <sz val="10"/>
        <color rgb="FF00007E"/>
        <rFont val="Calibri"/>
        <family val="2"/>
        <scheme val="minor"/>
      </rPr>
      <t>IRR</t>
    </r>
    <r>
      <rPr>
        <sz val="6"/>
        <color rgb="FF00007E"/>
        <rFont val="Calibri"/>
        <family val="2"/>
        <scheme val="minor"/>
      </rPr>
      <t xml:space="preserve"> </t>
    </r>
    <r>
      <rPr>
        <sz val="9.5"/>
        <color rgb="FF00007E"/>
        <rFont val="Calibri"/>
        <family val="2"/>
        <scheme val="minor"/>
      </rPr>
      <t>(</t>
    </r>
    <r>
      <rPr>
        <sz val="6"/>
        <color rgb="FF00007E"/>
        <rFont val="Calibri"/>
        <family val="2"/>
        <scheme val="minor"/>
      </rPr>
      <t xml:space="preserve"> </t>
    </r>
    <r>
      <rPr>
        <sz val="9.5"/>
        <color rgb="FF00007E"/>
        <rFont val="Calibri"/>
        <family val="2"/>
        <scheme val="minor"/>
      </rPr>
      <t>)</t>
    </r>
    <r>
      <rPr>
        <b/>
        <sz val="11"/>
        <color rgb="FF00007E"/>
        <rFont val="Calibri"/>
        <family val="2"/>
        <scheme val="minor"/>
      </rPr>
      <t xml:space="preserve"> </t>
    </r>
    <r>
      <rPr>
        <b/>
        <sz val="10"/>
        <color rgb="FF00007E"/>
        <rFont val="Calibri"/>
        <family val="2"/>
        <scheme val="minor"/>
      </rPr>
      <t>function</t>
    </r>
  </si>
  <si>
    <t xml:space="preserve"> Tax rate</t>
  </si>
  <si>
    <r>
      <rPr>
        <b/>
        <sz val="10"/>
        <color rgb="FF00007E"/>
        <rFont val="Calibri"/>
        <family val="2"/>
        <scheme val="minor"/>
      </rPr>
      <t>Enterprise Value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</t>
    </r>
    <r>
      <rPr>
        <sz val="10"/>
        <rFont val="Calibri"/>
        <family val="2"/>
        <scheme val="minor"/>
      </rPr>
      <t>total capitalization</t>
    </r>
    <r>
      <rPr>
        <sz val="9"/>
        <rFont val="Calibri"/>
        <family val="2"/>
        <scheme val="minor"/>
      </rPr>
      <t>)</t>
    </r>
  </si>
  <si>
    <r>
      <rPr>
        <b/>
        <sz val="10"/>
        <color rgb="FF00007E"/>
        <rFont val="Calibri"/>
        <family val="2"/>
        <scheme val="minor"/>
      </rPr>
      <t>Equity Value</t>
    </r>
    <r>
      <rPr>
        <sz val="10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</t>
    </r>
    <r>
      <rPr>
        <sz val="10"/>
        <color theme="1"/>
        <rFont val="Calibri"/>
        <family val="2"/>
        <scheme val="minor"/>
      </rPr>
      <t>mkt cap</t>
    </r>
    <r>
      <rPr>
        <sz val="9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</si>
  <si>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NPV</t>
    </r>
    <r>
      <rPr>
        <sz val="1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</t>
    </r>
    <r>
      <rPr>
        <sz val="1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</si>
  <si>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PV</t>
    </r>
    <r>
      <rPr>
        <sz val="1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</t>
    </r>
    <r>
      <rPr>
        <sz val="1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)</t>
    </r>
  </si>
  <si>
    <r>
      <rPr>
        <b/>
        <sz val="10"/>
        <color rgb="FF00007E"/>
        <rFont val="Calibri"/>
        <family val="2"/>
        <scheme val="minor"/>
      </rPr>
      <t>Method 1: Discounted Cash Flow</t>
    </r>
    <r>
      <rPr>
        <sz val="10"/>
        <rFont val="Calibri"/>
        <family val="2"/>
        <scheme val="minor"/>
      </rPr>
      <t xml:space="preserve"> − a company-level NPV calculation </t>
    </r>
    <r>
      <rPr>
        <sz val="9"/>
        <rFont val="Calibri"/>
        <family val="2"/>
        <scheme val="minor"/>
      </rPr>
      <t>(</t>
    </r>
    <r>
      <rPr>
        <sz val="10"/>
        <rFont val="Calibri"/>
        <family val="2"/>
        <scheme val="minor"/>
      </rPr>
      <t>the most reliable method</t>
    </r>
    <r>
      <rPr>
        <sz val="9"/>
        <rFont val="Calibri"/>
        <family val="2"/>
        <scheme val="minor"/>
      </rPr>
      <t>)</t>
    </r>
  </si>
  <si>
    <r>
      <rPr>
        <b/>
        <sz val="10"/>
        <color rgb="FF00007E"/>
        <rFont val="Calibri"/>
        <family val="2"/>
        <scheme val="minor"/>
      </rPr>
      <t>Method 2: Industry Multiple</t>
    </r>
    <r>
      <rPr>
        <sz val="10"/>
        <rFont val="Calibri"/>
        <family val="2"/>
        <scheme val="minor"/>
      </rPr>
      <t xml:space="preserve"> − a comparison to one's peers</t>
    </r>
  </si>
  <si>
    <r>
      <rPr>
        <b/>
        <sz val="10"/>
        <color rgb="FF00007E"/>
        <rFont val="Calibri"/>
        <family val="2"/>
        <scheme val="minor"/>
      </rPr>
      <t>Yield</t>
    </r>
    <r>
      <rPr>
        <sz val="10"/>
        <rFont val="Calibri"/>
        <family val="2"/>
        <scheme val="minor"/>
      </rPr>
      <t xml:space="preserve"> is the rate of return on a bond investment. There are 3 levels of specificity:</t>
    </r>
  </si>
  <si>
    <t>Financial</t>
  </si>
  <si>
    <t>Mathematical</t>
  </si>
  <si>
    <t>Practical</t>
  </si>
  <si>
    <t>Current:</t>
  </si>
  <si>
    <t>YTM:</t>
  </si>
  <si>
    <t>Realized:</t>
  </si>
  <si>
    <r>
      <t>Price and Yield are inversely correlated</t>
    </r>
    <r>
      <rPr>
        <sz val="10"/>
        <rFont val="Calibri"/>
        <family val="2"/>
        <scheme val="minor"/>
      </rPr>
      <t>. Three insights illustrate this dynamic:</t>
    </r>
  </si>
  <si>
    <t>❶</t>
  </si>
  <si>
    <t>❷</t>
  </si>
  <si>
    <r>
      <t xml:space="preserve">A 1,100 bond pays 6.4% </t>
    </r>
    <r>
      <rPr>
        <b/>
        <sz val="9"/>
        <color rgb="FFFF0000"/>
        <rFont val="Calibri"/>
        <family val="2"/>
        <scheme val="minor"/>
      </rPr>
      <t>❶</t>
    </r>
    <r>
      <rPr>
        <sz val="10"/>
        <rFont val="Calibri"/>
        <family val="2"/>
        <scheme val="minor"/>
      </rPr>
      <t>.  Rates go up, and new bonds pay 6.5% …</t>
    </r>
  </si>
  <si>
    <r>
      <t xml:space="preserve">To match the new 6.5% yield, the price drops from 1,100 to 1,075 </t>
    </r>
    <r>
      <rPr>
        <b/>
        <sz val="9"/>
        <color rgb="FFFF0000"/>
        <rFont val="Calibri"/>
        <family val="2"/>
        <scheme val="minor"/>
      </rPr>
      <t>❷</t>
    </r>
  </si>
  <si>
    <r>
      <rPr>
        <b/>
        <sz val="10"/>
        <color rgb="FF00007E"/>
        <rFont val="Calibri"/>
        <family val="2"/>
        <scheme val="minor"/>
      </rPr>
      <t>PRICE</t>
    </r>
    <r>
      <rPr>
        <sz val="6"/>
        <color rgb="FF00007E"/>
        <rFont val="Calibri"/>
        <family val="2"/>
        <scheme val="minor"/>
      </rPr>
      <t xml:space="preserve"> </t>
    </r>
    <r>
      <rPr>
        <sz val="9.5"/>
        <color rgb="FF00007E"/>
        <rFont val="Calibri"/>
        <family val="2"/>
        <scheme val="minor"/>
      </rPr>
      <t>(</t>
    </r>
    <r>
      <rPr>
        <sz val="6"/>
        <color rgb="FF00007E"/>
        <rFont val="Calibri"/>
        <family val="2"/>
        <scheme val="minor"/>
      </rPr>
      <t xml:space="preserve"> </t>
    </r>
    <r>
      <rPr>
        <sz val="9.5"/>
        <color rgb="FF00007E"/>
        <rFont val="Calibri"/>
        <family val="2"/>
        <scheme val="minor"/>
      </rPr>
      <t>)</t>
    </r>
    <r>
      <rPr>
        <sz val="10"/>
        <rFont val="Calibri"/>
        <family val="2"/>
        <scheme val="minor"/>
      </rPr>
      <t xml:space="preserve"> returns the market value, given the yield</t>
    </r>
  </si>
  <si>
    <r>
      <rPr>
        <b/>
        <sz val="10"/>
        <color rgb="FF00007E"/>
        <rFont val="Calibri"/>
        <family val="2"/>
        <scheme val="minor"/>
      </rPr>
      <t>YIELD</t>
    </r>
    <r>
      <rPr>
        <sz val="6"/>
        <color rgb="FF00007E"/>
        <rFont val="Calibri"/>
        <family val="2"/>
        <scheme val="minor"/>
      </rPr>
      <t xml:space="preserve"> </t>
    </r>
    <r>
      <rPr>
        <sz val="9.5"/>
        <color rgb="FF00007E"/>
        <rFont val="Calibri"/>
        <family val="2"/>
        <scheme val="minor"/>
      </rPr>
      <t>(</t>
    </r>
    <r>
      <rPr>
        <sz val="6"/>
        <color rgb="FF00007E"/>
        <rFont val="Calibri"/>
        <family val="2"/>
        <scheme val="minor"/>
      </rPr>
      <t xml:space="preserve"> </t>
    </r>
    <r>
      <rPr>
        <sz val="9.5"/>
        <color rgb="FF00007E"/>
        <rFont val="Calibri"/>
        <family val="2"/>
        <scheme val="minor"/>
      </rPr>
      <t>)</t>
    </r>
    <r>
      <rPr>
        <sz val="10"/>
        <rFont val="Calibri"/>
        <family val="2"/>
        <scheme val="minor"/>
      </rPr>
      <t xml:space="preserve"> returns the yield to maturity, given the price</t>
    </r>
  </si>
  <si>
    <r>
      <t>Annuities: 401</t>
    </r>
    <r>
      <rPr>
        <b/>
        <sz val="16"/>
        <rFont val="Calibri"/>
        <family val="2"/>
        <scheme val="minor"/>
      </rPr>
      <t>k</t>
    </r>
    <r>
      <rPr>
        <b/>
        <sz val="18"/>
        <rFont val="Calibri"/>
        <family val="2"/>
        <scheme val="minor"/>
      </rPr>
      <t xml:space="preserve"> math</t>
    </r>
  </si>
  <si>
    <t>This software is licensed for single-seat, non-transferable use.</t>
  </si>
  <si>
    <t xml:space="preserve">    Unauthorized sale, duplication, or distribution is prohibited.</t>
  </si>
  <si>
    <r>
      <rPr>
        <sz val="10"/>
        <rFont val="Calibri"/>
        <family val="2"/>
        <scheme val="minor"/>
      </rPr>
      <t>⎰</t>
    </r>
    <r>
      <rPr>
        <sz val="10"/>
        <color rgb="FF006800"/>
        <rFont val="Calibri"/>
        <family val="2"/>
        <scheme val="minor"/>
      </rPr>
      <t>Yield</t>
    </r>
  </si>
  <si>
    <r>
      <rPr>
        <sz val="10"/>
        <rFont val="Calibri"/>
        <family val="2"/>
        <scheme val="minor"/>
      </rPr>
      <t>⎱</t>
    </r>
    <r>
      <rPr>
        <sz val="10"/>
        <color rgb="FFC00000"/>
        <rFont val="Calibri"/>
        <family val="2"/>
        <scheme val="minor"/>
      </rPr>
      <t>Price</t>
    </r>
  </si>
  <si>
    <r>
      <t>Assumption for PRICE</t>
    </r>
    <r>
      <rPr>
        <sz val="6"/>
        <rFont val="Calibri"/>
        <family val="2"/>
        <scheme val="minor"/>
      </rPr>
      <t xml:space="preserve"> </t>
    </r>
    <r>
      <rPr>
        <sz val="9.5"/>
        <rFont val="Calibri"/>
        <family val="2"/>
        <scheme val="minor"/>
      </rPr>
      <t>(</t>
    </r>
    <r>
      <rPr>
        <sz val="6"/>
        <rFont val="Calibri"/>
        <family val="2"/>
        <scheme val="minor"/>
      </rPr>
      <t xml:space="preserve"> </t>
    </r>
    <r>
      <rPr>
        <sz val="9.5"/>
        <rFont val="Calibri"/>
        <family val="2"/>
        <scheme val="minor"/>
      </rPr>
      <t>)</t>
    </r>
  </si>
  <si>
    <r>
      <t>Assumption for YIELD</t>
    </r>
    <r>
      <rPr>
        <sz val="6"/>
        <rFont val="Calibri"/>
        <family val="2"/>
        <scheme val="minor"/>
      </rPr>
      <t xml:space="preserve"> </t>
    </r>
    <r>
      <rPr>
        <sz val="9.5"/>
        <rFont val="Calibri"/>
        <family val="2"/>
        <scheme val="minor"/>
      </rPr>
      <t>(</t>
    </r>
    <r>
      <rPr>
        <sz val="6"/>
        <rFont val="Calibri"/>
        <family val="2"/>
        <scheme val="minor"/>
      </rPr>
      <t xml:space="preserve"> </t>
    </r>
    <r>
      <rPr>
        <sz val="9.5"/>
        <rFont val="Calibri"/>
        <family val="2"/>
        <scheme val="minor"/>
      </rPr>
      <t>)</t>
    </r>
  </si>
  <si>
    <r>
      <t xml:space="preserve">Income Statement:  </t>
    </r>
    <r>
      <rPr>
        <sz val="11.5"/>
        <rFont val="Calibri"/>
        <family val="2"/>
        <scheme val="minor"/>
      </rPr>
      <t>A recap</t>
    </r>
  </si>
  <si>
    <r>
      <t xml:space="preserve">Balance Sheet:  </t>
    </r>
    <r>
      <rPr>
        <sz val="11.5"/>
        <rFont val="Calibri"/>
        <family val="2"/>
        <scheme val="minor"/>
      </rPr>
      <t>A lay of the land</t>
    </r>
  </si>
  <si>
    <r>
      <t xml:space="preserve">Cash Flow Statement:  </t>
    </r>
    <r>
      <rPr>
        <sz val="11.5"/>
        <rFont val="Calibri"/>
        <family val="2"/>
        <scheme val="minor"/>
      </rPr>
      <t>An audit</t>
    </r>
  </si>
  <si>
    <r>
      <t xml:space="preserve">How much did we sell, spend, </t>
    </r>
    <r>
      <rPr>
        <sz val="9"/>
        <rFont val="Calibri"/>
        <family val="2"/>
        <scheme val="minor"/>
      </rPr>
      <t>&amp;</t>
    </r>
    <r>
      <rPr>
        <sz val="10"/>
        <rFont val="Calibri"/>
        <family val="2"/>
        <scheme val="minor"/>
      </rPr>
      <t xml:space="preserve"> earn?</t>
    </r>
  </si>
  <si>
    <r>
      <rPr>
        <sz val="9"/>
        <rFont val="Calibri"/>
        <family val="2"/>
        <scheme val="minor"/>
      </rPr>
      <t xml:space="preserve">●  </t>
    </r>
    <r>
      <rPr>
        <sz val="10"/>
        <rFont val="Calibri"/>
        <family val="2"/>
        <scheme val="minor"/>
      </rPr>
      <t xml:space="preserve">Current yield − Single-period return from an </t>
    </r>
    <r>
      <rPr>
        <b/>
        <sz val="10"/>
        <color rgb="FF006800"/>
        <rFont val="Calibri"/>
        <family val="2"/>
        <scheme val="minor"/>
      </rPr>
      <t>interest</t>
    </r>
    <r>
      <rPr>
        <sz val="10"/>
        <rFont val="Calibri"/>
        <family val="2"/>
        <scheme val="minor"/>
      </rPr>
      <t xml:space="preserve"> payment (generally 1 year)</t>
    </r>
  </si>
  <si>
    <r>
      <rPr>
        <b/>
        <sz val="10"/>
        <color rgb="FF00007E"/>
        <rFont val="Calibri"/>
        <family val="2"/>
        <scheme val="minor"/>
      </rPr>
      <t>Price</t>
    </r>
    <r>
      <rPr>
        <sz val="10"/>
        <rFont val="Calibri"/>
        <family val="2"/>
        <scheme val="minor"/>
      </rPr>
      <t xml:space="preserve"> is driven by market forces, but converges back to face value (par) at maturity and the bond is redeemed</t>
    </r>
  </si>
  <si>
    <r>
      <rPr>
        <sz val="9"/>
        <rFont val="Calibri"/>
        <family val="2"/>
        <scheme val="minor"/>
      </rPr>
      <t xml:space="preserve">●  </t>
    </r>
    <r>
      <rPr>
        <sz val="10"/>
        <rFont val="Calibri"/>
        <family val="2"/>
        <scheme val="minor"/>
      </rPr>
      <t xml:space="preserve">Yield to maturity − Forecasted IRR from </t>
    </r>
    <r>
      <rPr>
        <b/>
        <sz val="10"/>
        <color rgb="FF006800"/>
        <rFont val="Calibri"/>
        <family val="2"/>
        <scheme val="minor"/>
      </rPr>
      <t>interest</t>
    </r>
    <r>
      <rPr>
        <sz val="10"/>
        <rFont val="Calibri"/>
        <family val="2"/>
        <scheme val="minor"/>
      </rPr>
      <t xml:space="preserve"> + </t>
    </r>
    <r>
      <rPr>
        <b/>
        <sz val="10"/>
        <color rgb="FFC00000"/>
        <rFont val="Calibri"/>
        <family val="2"/>
        <scheme val="minor"/>
      </rPr>
      <t>price</t>
    </r>
    <r>
      <rPr>
        <sz val="10"/>
        <rFont val="Calibri"/>
        <family val="2"/>
        <scheme val="minor"/>
      </rPr>
      <t xml:space="preserve"> increase/</t>
    </r>
    <r>
      <rPr>
        <sz val="10"/>
        <color rgb="FFFF0000"/>
        <rFont val="Calibri"/>
        <family val="2"/>
        <scheme val="minor"/>
      </rPr>
      <t>decrease</t>
    </r>
    <r>
      <rPr>
        <sz val="10"/>
        <rFont val="Calibri"/>
        <family val="2"/>
        <scheme val="minor"/>
      </rPr>
      <t xml:space="preserve"> when a bond is redeemed</t>
    </r>
  </si>
  <si>
    <r>
      <rPr>
        <sz val="9"/>
        <rFont val="Calibri"/>
        <family val="2"/>
        <scheme val="minor"/>
      </rPr>
      <t xml:space="preserve">●  </t>
    </r>
    <r>
      <rPr>
        <sz val="10"/>
        <rFont val="Calibri"/>
        <family val="2"/>
        <scheme val="minor"/>
      </rPr>
      <t xml:space="preserve">Realized yield − Annualized return from </t>
    </r>
    <r>
      <rPr>
        <b/>
        <sz val="10"/>
        <color rgb="FF006800"/>
        <rFont val="Calibri"/>
        <family val="2"/>
        <scheme val="minor"/>
      </rPr>
      <t>interest</t>
    </r>
    <r>
      <rPr>
        <sz val="10"/>
        <rFont val="Calibri"/>
        <family val="2"/>
        <scheme val="minor"/>
      </rPr>
      <t xml:space="preserve"> + </t>
    </r>
    <r>
      <rPr>
        <b/>
        <sz val="10"/>
        <color rgb="FFC00000"/>
        <rFont val="Calibri"/>
        <family val="2"/>
        <scheme val="minor"/>
      </rPr>
      <t>price</t>
    </r>
    <r>
      <rPr>
        <sz val="10"/>
        <color rgb="FFC0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increase/</t>
    </r>
    <r>
      <rPr>
        <sz val="10"/>
        <color rgb="FFFF0000"/>
        <rFont val="Calibri"/>
        <family val="2"/>
        <scheme val="minor"/>
      </rPr>
      <t>decrease</t>
    </r>
    <r>
      <rPr>
        <sz val="10"/>
        <rFont val="Calibri"/>
        <family val="2"/>
        <scheme val="minor"/>
      </rPr>
      <t xml:space="preserve"> when  bond is sold</t>
    </r>
  </si>
  <si>
    <r>
      <rPr>
        <b/>
        <sz val="11"/>
        <color rgb="FF00007E"/>
        <rFont val="Calibri"/>
        <family val="2"/>
        <scheme val="minor"/>
      </rPr>
      <t>Display</t>
    </r>
    <r>
      <rPr>
        <sz val="11"/>
        <color rgb="FF002060"/>
        <rFont val="Calibri"/>
        <family val="2"/>
        <scheme val="minor"/>
      </rPr>
      <t xml:space="preserve">  </t>
    </r>
    <r>
      <rPr>
        <sz val="11"/>
        <rFont val="Calibri"/>
        <family val="2"/>
        <scheme val="minor"/>
      </rPr>
      <t>23" monitor,  1920 x 1080 resolution,  125% scaling</t>
    </r>
  </si>
  <si>
    <r>
      <rPr>
        <b/>
        <sz val="11"/>
        <color rgb="FF00007E"/>
        <rFont val="Calibri"/>
        <family val="2"/>
        <scheme val="minor"/>
      </rPr>
      <t>Excel</t>
    </r>
    <r>
      <rPr>
        <sz val="11"/>
        <color rgb="FF002060"/>
        <rFont val="Calibri"/>
        <family val="2"/>
        <scheme val="minor"/>
      </rPr>
      <t xml:space="preserve">      For each tab:</t>
    </r>
  </si>
  <si>
    <r>
      <t xml:space="preserve"> 1. View </t>
    </r>
    <r>
      <rPr>
        <sz val="11"/>
        <color theme="1"/>
        <rFont val="Calibri"/>
        <family val="2"/>
        <scheme val="minor"/>
      </rPr>
      <t>&gt; Zoom group &gt; click</t>
    </r>
    <r>
      <rPr>
        <b/>
        <sz val="11"/>
        <color theme="1"/>
        <rFont val="Calibri"/>
        <family val="2"/>
        <scheme val="minor"/>
      </rPr>
      <t xml:space="preserve"> 100%</t>
    </r>
  </si>
  <si>
    <r>
      <t xml:space="preserve"> 2. View </t>
    </r>
    <r>
      <rPr>
        <sz val="11"/>
        <color theme="1"/>
        <rFont val="Calibri"/>
        <family val="2"/>
        <scheme val="minor"/>
      </rPr>
      <t xml:space="preserve">&gt; Show group &gt; uncheck </t>
    </r>
    <r>
      <rPr>
        <b/>
        <sz val="11"/>
        <color theme="1"/>
        <rFont val="Calibri"/>
        <family val="2"/>
        <scheme val="minor"/>
      </rPr>
      <t>Headings</t>
    </r>
  </si>
  <si>
    <r>
      <t xml:space="preserve"> 3. View </t>
    </r>
    <r>
      <rPr>
        <sz val="11"/>
        <color theme="1"/>
        <rFont val="Calibri"/>
        <family val="2"/>
        <scheme val="minor"/>
      </rPr>
      <t>&gt; Show group &gt; uncheck</t>
    </r>
    <r>
      <rPr>
        <b/>
        <sz val="11"/>
        <color theme="1"/>
        <rFont val="Calibri"/>
        <family val="2"/>
        <scheme val="minor"/>
      </rPr>
      <t xml:space="preserve"> Formula Bar</t>
    </r>
  </si>
  <si>
    <r>
      <rPr>
        <b/>
        <sz val="11"/>
        <color rgb="FF00007E"/>
        <rFont val="Calibri"/>
        <family val="2"/>
        <scheme val="minor"/>
      </rPr>
      <t>Printer</t>
    </r>
    <r>
      <rPr>
        <sz val="11"/>
        <rFont val="Calibri"/>
        <family val="2"/>
        <scheme val="minor"/>
      </rPr>
      <t xml:space="preserve">    File &gt; Print</t>
    </r>
  </si>
  <si>
    <r>
      <rPr>
        <b/>
        <sz val="11"/>
        <color rgb="FF00007E"/>
        <rFont val="Calibri"/>
        <family val="2"/>
        <scheme val="minor"/>
      </rPr>
      <t>PDF</t>
    </r>
    <r>
      <rPr>
        <sz val="11"/>
        <color rgb="FF00007E"/>
        <rFont val="Calibri"/>
        <family val="2"/>
        <scheme val="minor"/>
      </rPr>
      <t xml:space="preserve">          </t>
    </r>
    <r>
      <rPr>
        <sz val="11"/>
        <rFont val="Calibri"/>
        <family val="2"/>
        <scheme val="minor"/>
      </rPr>
      <t>File &gt; Save As &gt; Browse &gt; choose folder &gt; select PDF</t>
    </r>
  </si>
  <si>
    <r>
      <rPr>
        <sz val="11"/>
        <rFont val="Segoe UI Variable Display Semib"/>
      </rPr>
      <t>O</t>
    </r>
    <r>
      <rPr>
        <sz val="10"/>
        <rFont val="Segoe UI Variable Display Semib"/>
      </rPr>
      <t xml:space="preserve">UTPUT </t>
    </r>
    <r>
      <rPr>
        <sz val="11"/>
        <rFont val="Segoe UI Variable Display Semib"/>
      </rPr>
      <t>O</t>
    </r>
    <r>
      <rPr>
        <sz val="10"/>
        <rFont val="Segoe UI Variable Display Semib"/>
      </rPr>
      <t>PTIONS</t>
    </r>
  </si>
  <si>
    <r>
      <rPr>
        <sz val="11"/>
        <rFont val="Segoe UI Variable Display Semib"/>
      </rPr>
      <t>C</t>
    </r>
    <r>
      <rPr>
        <sz val="10"/>
        <rFont val="Segoe UI Variable Display Semib"/>
      </rPr>
      <t xml:space="preserve">ELL </t>
    </r>
    <r>
      <rPr>
        <sz val="11"/>
        <rFont val="Segoe UI Variable Display Semib"/>
      </rPr>
      <t>E</t>
    </r>
    <r>
      <rPr>
        <sz val="10"/>
        <rFont val="Segoe UI Variable Display Semib"/>
      </rPr>
      <t>DITING</t>
    </r>
  </si>
  <si>
    <r>
      <rPr>
        <sz val="11"/>
        <rFont val="Segoe UI Variable Display Semib"/>
      </rPr>
      <t>R</t>
    </r>
    <r>
      <rPr>
        <sz val="10"/>
        <rFont val="Segoe UI Variable Display Semib"/>
      </rPr>
      <t xml:space="preserve">ECOMMENDED </t>
    </r>
    <r>
      <rPr>
        <sz val="11"/>
        <rFont val="Segoe UI Variable Display Semib"/>
      </rPr>
      <t>S</t>
    </r>
    <r>
      <rPr>
        <sz val="10"/>
        <rFont val="Segoe UI Variable Display Semib"/>
      </rPr>
      <t>ETTINGS</t>
    </r>
  </si>
  <si>
    <r>
      <rPr>
        <sz val="10"/>
        <color theme="1"/>
        <rFont val="Calibri"/>
        <family val="2"/>
        <scheme val="minor"/>
      </rPr>
      <t xml:space="preserve">© 2025, </t>
    </r>
    <r>
      <rPr>
        <sz val="16"/>
        <color rgb="FF002060"/>
        <rFont val="Rough Draft"/>
      </rPr>
      <t>E</t>
    </r>
    <r>
      <rPr>
        <sz val="13"/>
        <color rgb="FF002060"/>
        <rFont val="Rough Draft"/>
      </rPr>
      <t>XCEL</t>
    </r>
    <r>
      <rPr>
        <sz val="16"/>
        <color rgb="FF002060"/>
        <rFont val="Rough Draft"/>
      </rPr>
      <t>M</t>
    </r>
    <r>
      <rPr>
        <sz val="13"/>
        <color rgb="FF002060"/>
        <rFont val="Rough Draft"/>
      </rPr>
      <t>ODELS</t>
    </r>
    <r>
      <rPr>
        <sz val="10"/>
        <rFont val="Calibri"/>
        <family val="2"/>
        <scheme val="minor"/>
      </rPr>
      <t>.com</t>
    </r>
  </si>
  <si>
    <t xml:space="preserve">  Long-term rate</t>
  </si>
  <si>
    <t xml:space="preserve">  Short-term rate</t>
  </si>
  <si>
    <t>Start</t>
  </si>
  <si>
    <t>Earn</t>
  </si>
  <si>
    <t>Penalty:</t>
  </si>
  <si>
    <t>Tax:</t>
  </si>
  <si>
    <t>Out:</t>
  </si>
  <si>
    <r>
      <t>Tax</t>
    </r>
    <r>
      <rPr>
        <sz val="10"/>
        <rFont val="Calibri"/>
        <family val="2"/>
        <scheme val="minor"/>
      </rPr>
      <t>:</t>
    </r>
  </si>
  <si>
    <t>Contributions</t>
  </si>
  <si>
    <t>Initial deposiit</t>
  </si>
  <si>
    <r>
      <t>Net</t>
    </r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bp</t>
    </r>
  </si>
  <si>
    <r>
      <t>Scenario 1</t>
    </r>
    <r>
      <rPr>
        <sz val="10"/>
        <rFont val="Calibri"/>
        <family val="2"/>
        <scheme val="minor"/>
      </rPr>
      <t xml:space="preserve"> - Hold to maturity</t>
    </r>
  </si>
  <si>
    <r>
      <t>Scenario 2</t>
    </r>
    <r>
      <rPr>
        <sz val="10"/>
        <rFont val="Calibri"/>
        <family val="2"/>
        <scheme val="minor"/>
      </rPr>
      <t xml:space="preserve"> - Hold to maturity</t>
    </r>
  </si>
  <si>
    <r>
      <t>Scenario 3</t>
    </r>
    <r>
      <rPr>
        <sz val="10"/>
        <rFont val="Calibri"/>
        <family val="2"/>
        <scheme val="minor"/>
      </rPr>
      <t xml:space="preserve"> - Liquidate early</t>
    </r>
  </si>
  <si>
    <r>
      <t xml:space="preserve">User can edit or modify all formulas </t>
    </r>
    <r>
      <rPr>
        <sz val="10"/>
        <rFont val="Calibri"/>
        <family val="2"/>
        <scheme val="minor"/>
      </rPr>
      <t>(</t>
    </r>
    <r>
      <rPr>
        <sz val="11"/>
        <rFont val="Calibri"/>
        <family val="2"/>
        <scheme val="minor"/>
      </rPr>
      <t>outlined cells</t>
    </r>
    <r>
      <rPr>
        <sz val="10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</si>
</sst>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0.0%"/>
    <numFmt numFmtId="165" formatCode="0_);[Red]\(0\)"/>
    <numFmt numFmtId="166" formatCode="#,##0.0_);[Red]\(#,##0.0\)"/>
    <numFmt numFmtId="167" formatCode="#,##0;[Red]#,##0"/>
    <numFmt numFmtId="168" formatCode="#,##0.0"/>
    <numFmt numFmtId="169" formatCode="0;[Red]\-0"/>
    <numFmt numFmtId="170" formatCode="#,##0;[Red]\-#,##0"/>
    <numFmt numFmtId="171" formatCode="\+0;[Red]\-0"/>
    <numFmt numFmtId="172" formatCode="#,##0_);\-\(#,##0\)"/>
    <numFmt numFmtId="173" formatCode="\+#,##0;[Red]\-#,##0"/>
    <numFmt numFmtId="174" formatCode="0.00_);[Red]\(0.00\)"/>
    <numFmt numFmtId="175" formatCode="\=\ 0.0%"/>
    <numFmt numFmtId="176" formatCode="m/d/yy\ ;@"/>
    <numFmt numFmtId="177" formatCode="0.0%\ "/>
    <numFmt numFmtId="178" formatCode="#,##0\ "/>
    <numFmt numFmtId="179" formatCode="\+#,##0_)&quot;/&quot;;[Red]\+\(#,##0\)&quot;/&quot;"/>
    <numFmt numFmtId="180" formatCode="\(#,##0;[Red]\(#,##0"/>
    <numFmt numFmtId="181" formatCode="\ \ \+0\);[Red]\-\ 0\)"/>
    <numFmt numFmtId="182" formatCode="&quot;/ &quot;#,##0\ \=;[Red]&quot;/ &quot;#,##0\ \="/>
    <numFmt numFmtId="183" formatCode="0%\ "/>
    <numFmt numFmtId="184" formatCode="#,##0\ ;[Red]\-#,##0\ "/>
    <numFmt numFmtId="185" formatCode="#,##0.0;[Red]#,##0.0"/>
    <numFmt numFmtId="186" formatCode="0\);[Red]\-0\)"/>
    <numFmt numFmtId="187" formatCode="&quot;/ &quot;#,##0\ \=\ ;[Red]&quot;/ &quot;#,##0\ \=\ "/>
    <numFmt numFmtId="188" formatCode="\=\ #,##0;[Red]#,##0"/>
    <numFmt numFmtId="189" formatCode="#,##0.0\ ;[Red]\−#,##0.0"/>
  </numFmts>
  <fonts count="1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name val="Verdana"/>
      <family val="2"/>
    </font>
    <font>
      <sz val="9.5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libri"/>
      <family val="2"/>
      <scheme val="minor"/>
    </font>
    <font>
      <sz val="9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2"/>
      <name val="Calibri"/>
      <family val="2"/>
      <scheme val="minor"/>
    </font>
    <font>
      <sz val="4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1"/>
      <color rgb="FF000074"/>
      <name val="Calibri"/>
      <family val="2"/>
      <scheme val="minor"/>
    </font>
    <font>
      <sz val="1"/>
      <color rgb="FFF7F7F7"/>
      <name val="Calibri"/>
      <family val="2"/>
      <scheme val="minor"/>
    </font>
    <font>
      <i/>
      <sz val="10"/>
      <name val="Calibri"/>
      <family val="2"/>
      <scheme val="minor"/>
    </font>
    <font>
      <sz val="24"/>
      <name val="Corbel Light"/>
      <family val="2"/>
    </font>
    <font>
      <sz val="8"/>
      <name val="Calibri"/>
      <family val="2"/>
    </font>
    <font>
      <b/>
      <i/>
      <sz val="11"/>
      <color rgb="FFC00000"/>
      <name val="Calibri"/>
      <family val="2"/>
      <scheme val="minor"/>
    </font>
    <font>
      <b/>
      <sz val="8"/>
      <name val="Calibri"/>
      <family val="2"/>
      <scheme val="minor"/>
    </font>
    <font>
      <i/>
      <sz val="9.5"/>
      <name val="Calibri"/>
      <family val="2"/>
      <scheme val="minor"/>
    </font>
    <font>
      <sz val="9.5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3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i/>
      <sz val="13"/>
      <name val="Calibri"/>
      <family val="2"/>
      <scheme val="minor"/>
    </font>
    <font>
      <i/>
      <sz val="13"/>
      <color indexed="18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.5"/>
      <color rgb="FFC00000"/>
      <name val="Calibri"/>
      <family val="2"/>
      <scheme val="minor"/>
    </font>
    <font>
      <b/>
      <sz val="9.5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D27D00"/>
      <name val="Calibri"/>
      <family val="2"/>
      <scheme val="minor"/>
    </font>
    <font>
      <i/>
      <sz val="10"/>
      <color rgb="FF006600"/>
      <name val="Calibri"/>
      <family val="2"/>
      <scheme val="minor"/>
    </font>
    <font>
      <u/>
      <sz val="10"/>
      <color theme="3" tint="-0.499984740745262"/>
      <name val="Calibri"/>
      <family val="2"/>
      <scheme val="minor"/>
    </font>
    <font>
      <sz val="10"/>
      <color rgb="FF000074"/>
      <name val="Calibri"/>
      <family val="2"/>
      <scheme val="minor"/>
    </font>
    <font>
      <b/>
      <i/>
      <sz val="8"/>
      <name val="Calibri"/>
      <family val="2"/>
      <scheme val="minor"/>
    </font>
    <font>
      <u/>
      <sz val="8"/>
      <color theme="3" tint="-0.499984740745262"/>
      <name val="Calibri"/>
      <family val="2"/>
      <scheme val="minor"/>
    </font>
    <font>
      <sz val="8"/>
      <color rgb="FF008200"/>
      <name val="Calibri"/>
      <family val="2"/>
      <scheme val="minor"/>
    </font>
    <font>
      <sz val="9.5"/>
      <color rgb="FF008200"/>
      <name val="Calibri"/>
      <family val="2"/>
      <scheme val="minor"/>
    </font>
    <font>
      <sz val="9.5"/>
      <color theme="0" tint="-0.34998626667073579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006800"/>
      <name val="Calibri"/>
      <family val="2"/>
      <scheme val="minor"/>
    </font>
    <font>
      <sz val="9.5"/>
      <color theme="6"/>
      <name val="Calibri"/>
      <family val="2"/>
      <scheme val="minor"/>
    </font>
    <font>
      <sz val="10"/>
      <color rgb="FF006800"/>
      <name val="Calibri"/>
      <family val="2"/>
      <scheme val="minor"/>
    </font>
    <font>
      <b/>
      <sz val="10"/>
      <color rgb="FFA80000"/>
      <name val="Calibri"/>
      <family val="2"/>
      <scheme val="minor"/>
    </font>
    <font>
      <b/>
      <sz val="10"/>
      <color rgb="FF00009E"/>
      <name val="Calibri"/>
      <family val="2"/>
      <scheme val="minor"/>
    </font>
    <font>
      <sz val="9.5"/>
      <color rgb="FF00009E"/>
      <name val="Calibri"/>
      <family val="2"/>
      <scheme val="minor"/>
    </font>
    <font>
      <sz val="10"/>
      <color rgb="FF00009E"/>
      <name val="Calibri"/>
      <family val="2"/>
      <scheme val="minor"/>
    </font>
    <font>
      <sz val="9.5"/>
      <color rgb="FF006800"/>
      <name val="Calibri"/>
      <family val="2"/>
      <scheme val="minor"/>
    </font>
    <font>
      <b/>
      <sz val="10"/>
      <color rgb="FFC07200"/>
      <name val="Calibri"/>
      <family val="2"/>
      <scheme val="minor"/>
    </font>
    <font>
      <sz val="9.5"/>
      <color rgb="FFC07200"/>
      <name val="Calibri"/>
      <family val="2"/>
      <scheme val="minor"/>
    </font>
    <font>
      <sz val="14"/>
      <color rgb="FF00007E"/>
      <name val="Calibri"/>
      <family val="2"/>
      <scheme val="minor"/>
    </font>
    <font>
      <i/>
      <sz val="10"/>
      <color rgb="FF00007E"/>
      <name val="Calibri"/>
      <family val="2"/>
      <scheme val="minor"/>
    </font>
    <font>
      <sz val="9.5"/>
      <color theme="1"/>
      <name val="Segoe UI"/>
      <family val="2"/>
    </font>
    <font>
      <b/>
      <sz val="11"/>
      <color theme="1"/>
      <name val="Segoe UI"/>
      <family val="2"/>
    </font>
    <font>
      <sz val="10"/>
      <name val="Segoe UI Variable Display Semib"/>
    </font>
    <font>
      <sz val="9"/>
      <color indexed="81"/>
      <name val="Segoe UI Variable Display Semib"/>
    </font>
    <font>
      <sz val="8"/>
      <color indexed="81"/>
      <name val="Calibri"/>
      <family val="2"/>
      <scheme val="minor"/>
    </font>
    <font>
      <sz val="9"/>
      <color indexed="18"/>
      <name val="Calibri"/>
      <family val="2"/>
      <scheme val="minor"/>
    </font>
    <font>
      <sz val="9.5"/>
      <color indexed="81"/>
      <name val="Calibri"/>
      <family val="2"/>
      <scheme val="minor"/>
    </font>
    <font>
      <sz val="4"/>
      <color indexed="81"/>
      <name val="Calibri"/>
      <family val="2"/>
      <scheme val="minor"/>
    </font>
    <font>
      <b/>
      <sz val="9.5"/>
      <color rgb="FF00007E"/>
      <name val="Calibri"/>
      <family val="2"/>
      <scheme val="minor"/>
    </font>
    <font>
      <sz val="6"/>
      <color rgb="FF00007E"/>
      <name val="Calibri"/>
      <family val="2"/>
      <scheme val="minor"/>
    </font>
    <font>
      <sz val="10"/>
      <name val="Calibri"/>
      <family val="2"/>
    </font>
    <font>
      <sz val="9"/>
      <color indexed="81"/>
      <name val="Calibri"/>
      <family val="2"/>
      <scheme val="minor"/>
    </font>
    <font>
      <b/>
      <sz val="9"/>
      <color indexed="18"/>
      <name val="Calibri"/>
      <family val="2"/>
      <scheme val="minor"/>
    </font>
    <font>
      <sz val="8.5"/>
      <color indexed="81"/>
      <name val="Segoe UI Variable Display Semib"/>
    </font>
    <font>
      <sz val="10"/>
      <color indexed="18"/>
      <name val="Rough Draft"/>
    </font>
    <font>
      <sz val="12"/>
      <color indexed="18"/>
      <name val="Rough Draft"/>
    </font>
    <font>
      <sz val="2"/>
      <color indexed="81"/>
      <name val="Calibri"/>
      <family val="2"/>
      <scheme val="minor"/>
    </font>
    <font>
      <i/>
      <sz val="8.5"/>
      <color indexed="81"/>
      <name val="Calibri"/>
      <family val="2"/>
      <scheme val="minor"/>
    </font>
    <font>
      <i/>
      <sz val="9"/>
      <color indexed="81"/>
      <name val="Calibri"/>
      <family val="2"/>
      <scheme val="minor"/>
    </font>
    <font>
      <u/>
      <sz val="10"/>
      <name val="Calibri"/>
      <family val="2"/>
      <scheme val="minor"/>
    </font>
    <font>
      <i/>
      <sz val="9"/>
      <name val="Calibri"/>
      <family val="2"/>
      <scheme val="minor"/>
    </font>
    <font>
      <sz val="9.5"/>
      <color rgb="FF00007E"/>
      <name val="Calibri"/>
      <family val="2"/>
      <scheme val="minor"/>
    </font>
    <font>
      <sz val="10"/>
      <color rgb="FF00007E"/>
      <name val="Calibri"/>
      <family val="2"/>
      <scheme val="minor"/>
    </font>
    <font>
      <b/>
      <sz val="10"/>
      <color rgb="FF00007E"/>
      <name val="Calibri"/>
      <family val="2"/>
      <scheme val="minor"/>
    </font>
    <font>
      <sz val="11"/>
      <color rgb="FF00007E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rgb="FF00007E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9"/>
      <color rgb="FFFF0000"/>
      <name val="Calibri"/>
      <family val="2"/>
      <scheme val="minor"/>
    </font>
    <font>
      <sz val="11.5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3DB8"/>
      <name val="Calibri"/>
      <family val="2"/>
      <scheme val="minor"/>
    </font>
    <font>
      <sz val="11"/>
      <name val="Segoe UI Variable Display Semib"/>
    </font>
    <font>
      <i/>
      <sz val="9.5"/>
      <color theme="1"/>
      <name val="Calibri"/>
      <family val="2"/>
      <scheme val="minor"/>
    </font>
    <font>
      <sz val="10.5"/>
      <name val="Calibri"/>
      <family val="2"/>
      <scheme val="minor"/>
    </font>
    <font>
      <sz val="16"/>
      <color rgb="FF002060"/>
      <name val="Rough Draft"/>
    </font>
    <font>
      <sz val="13"/>
      <color rgb="FF002060"/>
      <name val="Rough Draft"/>
    </font>
    <font>
      <sz val="14"/>
      <color rgb="FF00009E"/>
      <name val="Calibri"/>
      <family val="2"/>
      <scheme val="minor"/>
    </font>
    <font>
      <sz val="14"/>
      <name val="Calibri"/>
      <family val="2"/>
      <scheme val="minor"/>
    </font>
    <font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68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7600"/>
        <bgColor indexed="64"/>
      </patternFill>
    </fill>
    <fill>
      <patternFill patternType="solid">
        <fgColor rgb="FF00A400"/>
        <bgColor indexed="64"/>
      </patternFill>
    </fill>
    <fill>
      <patternFill patternType="solid">
        <fgColor rgb="FFF0F8FA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3B3B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9E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D42C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5EAE7"/>
        <bgColor indexed="64"/>
      </patternFill>
    </fill>
    <fill>
      <patternFill patternType="solid">
        <fgColor rgb="FFF7F7F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5" fillId="2" borderId="1">
      <alignment horizontal="center" vertical="justify"/>
    </xf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3" fillId="0" borderId="0"/>
    <xf numFmtId="0" fontId="17" fillId="0" borderId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40" fillId="0" borderId="0" applyNumberFormat="0" applyFill="0" applyBorder="0" applyAlignment="0" applyProtection="0"/>
  </cellStyleXfs>
  <cellXfs count="970">
    <xf numFmtId="0" fontId="0" fillId="0" borderId="0" xfId="0"/>
    <xf numFmtId="38" fontId="10" fillId="3" borderId="13" xfId="0" applyNumberFormat="1" applyFont="1" applyFill="1" applyBorder="1" applyProtection="1">
      <protection hidden="1"/>
    </xf>
    <xf numFmtId="38" fontId="9" fillId="12" borderId="13" xfId="1" applyNumberFormat="1" applyFont="1" applyFill="1" applyBorder="1" applyProtection="1">
      <protection hidden="1"/>
    </xf>
    <xf numFmtId="38" fontId="9" fillId="11" borderId="14" xfId="4" applyNumberFormat="1" applyFont="1" applyFill="1" applyBorder="1" applyProtection="1">
      <protection hidden="1"/>
    </xf>
    <xf numFmtId="38" fontId="9" fillId="15" borderId="13" xfId="1" applyNumberFormat="1" applyFont="1" applyFill="1" applyBorder="1" applyProtection="1">
      <protection hidden="1"/>
    </xf>
    <xf numFmtId="38" fontId="9" fillId="17" borderId="13" xfId="4" applyNumberFormat="1" applyFont="1" applyFill="1" applyBorder="1" applyProtection="1">
      <protection hidden="1"/>
    </xf>
    <xf numFmtId="38" fontId="9" fillId="11" borderId="13" xfId="4" applyNumberFormat="1" applyFont="1" applyFill="1" applyBorder="1" applyProtection="1">
      <protection hidden="1"/>
    </xf>
    <xf numFmtId="38" fontId="9" fillId="14" borderId="13" xfId="1" applyNumberFormat="1" applyFont="1" applyFill="1" applyBorder="1" applyProtection="1">
      <protection hidden="1"/>
    </xf>
    <xf numFmtId="38" fontId="9" fillId="16" borderId="13" xfId="4" applyNumberFormat="1" applyFont="1" applyFill="1" applyBorder="1" applyProtection="1">
      <protection hidden="1"/>
    </xf>
    <xf numFmtId="38" fontId="9" fillId="15" borderId="14" xfId="1" applyNumberFormat="1" applyFont="1" applyFill="1" applyBorder="1" applyProtection="1">
      <protection hidden="1"/>
    </xf>
    <xf numFmtId="38" fontId="9" fillId="6" borderId="13" xfId="1" applyNumberFormat="1" applyFont="1" applyFill="1" applyBorder="1" applyProtection="1">
      <protection hidden="1"/>
    </xf>
    <xf numFmtId="38" fontId="9" fillId="8" borderId="13" xfId="1" applyNumberFormat="1" applyFont="1" applyFill="1" applyBorder="1" applyProtection="1">
      <protection hidden="1"/>
    </xf>
    <xf numFmtId="38" fontId="10" fillId="3" borderId="14" xfId="0" applyNumberFormat="1" applyFont="1" applyFill="1" applyBorder="1" applyProtection="1">
      <protection hidden="1"/>
    </xf>
    <xf numFmtId="38" fontId="9" fillId="9" borderId="13" xfId="1" applyNumberFormat="1" applyFont="1" applyFill="1" applyBorder="1" applyProtection="1">
      <protection hidden="1"/>
    </xf>
    <xf numFmtId="38" fontId="9" fillId="5" borderId="14" xfId="1" applyNumberFormat="1" applyFont="1" applyFill="1" applyBorder="1" applyProtection="1">
      <protection hidden="1"/>
    </xf>
    <xf numFmtId="38" fontId="9" fillId="5" borderId="13" xfId="1" applyNumberFormat="1" applyFont="1" applyFill="1" applyBorder="1" applyProtection="1">
      <protection hidden="1"/>
    </xf>
    <xf numFmtId="38" fontId="9" fillId="7" borderId="13" xfId="4" applyNumberFormat="1" applyFont="1" applyFill="1" applyBorder="1" applyProtection="1">
      <protection hidden="1"/>
    </xf>
    <xf numFmtId="0" fontId="26" fillId="19" borderId="14" xfId="0" applyFont="1" applyFill="1" applyBorder="1" applyAlignment="1" applyProtection="1">
      <alignment horizontal="center" vertical="center"/>
      <protection hidden="1"/>
    </xf>
    <xf numFmtId="0" fontId="26" fillId="20" borderId="6" xfId="0" applyFont="1" applyFill="1" applyBorder="1" applyAlignment="1" applyProtection="1">
      <alignment horizontal="center" vertical="center"/>
      <protection hidden="1"/>
    </xf>
    <xf numFmtId="0" fontId="26" fillId="20" borderId="9" xfId="0" applyFont="1" applyFill="1" applyBorder="1" applyAlignment="1" applyProtection="1">
      <alignment horizontal="center" vertical="center"/>
      <protection hidden="1"/>
    </xf>
    <xf numFmtId="0" fontId="26" fillId="19" borderId="4" xfId="0" applyFont="1" applyFill="1" applyBorder="1" applyAlignment="1" applyProtection="1">
      <alignment horizontal="center" vertical="center"/>
      <protection hidden="1"/>
    </xf>
    <xf numFmtId="38" fontId="26" fillId="19" borderId="8" xfId="5" applyNumberFormat="1" applyFont="1" applyFill="1" applyBorder="1" applyAlignment="1" applyProtection="1">
      <alignment horizontal="center" vertical="center"/>
      <protection hidden="1"/>
    </xf>
    <xf numFmtId="0" fontId="26" fillId="20" borderId="7" xfId="0" applyFont="1" applyFill="1" applyBorder="1" applyAlignment="1" applyProtection="1">
      <alignment horizontal="center" vertical="center"/>
      <protection hidden="1"/>
    </xf>
    <xf numFmtId="0" fontId="26" fillId="20" borderId="2" xfId="0" applyFont="1" applyFill="1" applyBorder="1" applyAlignment="1" applyProtection="1">
      <alignment horizontal="center" vertical="center"/>
      <protection hidden="1"/>
    </xf>
    <xf numFmtId="0" fontId="26" fillId="19" borderId="8" xfId="0" applyFont="1" applyFill="1" applyBorder="1" applyAlignment="1" applyProtection="1">
      <alignment horizontal="center" vertical="center"/>
      <protection hidden="1"/>
    </xf>
    <xf numFmtId="38" fontId="9" fillId="21" borderId="0" xfId="5" applyNumberFormat="1" applyFont="1" applyFill="1" applyAlignment="1" applyProtection="1">
      <alignment horizontal="left" indent="1"/>
      <protection hidden="1"/>
    </xf>
    <xf numFmtId="38" fontId="9" fillId="21" borderId="0" xfId="5" applyNumberFormat="1" applyFont="1" applyFill="1" applyAlignment="1" applyProtection="1">
      <alignment horizontal="left"/>
      <protection hidden="1"/>
    </xf>
    <xf numFmtId="0" fontId="26" fillId="10" borderId="6" xfId="0" applyFont="1" applyFill="1" applyBorder="1" applyAlignment="1" applyProtection="1">
      <alignment horizontal="center" vertical="center"/>
      <protection hidden="1"/>
    </xf>
    <xf numFmtId="0" fontId="26" fillId="10" borderId="4" xfId="0" applyFont="1" applyFill="1" applyBorder="1" applyAlignment="1" applyProtection="1">
      <alignment horizontal="center" vertical="center"/>
      <protection hidden="1"/>
    </xf>
    <xf numFmtId="38" fontId="26" fillId="10" borderId="7" xfId="5" applyNumberFormat="1" applyFont="1" applyFill="1" applyBorder="1" applyAlignment="1" applyProtection="1">
      <alignment horizontal="center" vertical="center"/>
      <protection hidden="1"/>
    </xf>
    <xf numFmtId="38" fontId="26" fillId="10" borderId="8" xfId="5" applyNumberFormat="1" applyFont="1" applyFill="1" applyBorder="1" applyAlignment="1" applyProtection="1">
      <alignment horizontal="center" vertical="center"/>
      <protection hidden="1"/>
    </xf>
    <xf numFmtId="0" fontId="26" fillId="10" borderId="7" xfId="0" applyFont="1" applyFill="1" applyBorder="1" applyAlignment="1" applyProtection="1">
      <alignment horizontal="center" vertical="center"/>
      <protection hidden="1"/>
    </xf>
    <xf numFmtId="0" fontId="26" fillId="10" borderId="8" xfId="0" applyFont="1" applyFill="1" applyBorder="1" applyAlignment="1" applyProtection="1">
      <alignment horizontal="center" vertical="center"/>
      <protection hidden="1"/>
    </xf>
    <xf numFmtId="0" fontId="13" fillId="21" borderId="0" xfId="5" applyFont="1" applyFill="1" applyProtection="1">
      <protection hidden="1"/>
    </xf>
    <xf numFmtId="0" fontId="13" fillId="21" borderId="0" xfId="10" applyFont="1" applyFill="1" applyAlignment="1" applyProtection="1">
      <alignment horizontal="center"/>
      <protection hidden="1"/>
    </xf>
    <xf numFmtId="0" fontId="18" fillId="21" borderId="0" xfId="5" applyFont="1" applyFill="1" applyAlignment="1" applyProtection="1">
      <alignment vertical="center"/>
      <protection hidden="1"/>
    </xf>
    <xf numFmtId="165" fontId="13" fillId="21" borderId="0" xfId="0" applyNumberFormat="1" applyFont="1" applyFill="1" applyProtection="1">
      <protection hidden="1"/>
    </xf>
    <xf numFmtId="9" fontId="10" fillId="20" borderId="21" xfId="13" applyFont="1" applyFill="1" applyBorder="1" applyAlignment="1" applyProtection="1">
      <alignment horizontal="center"/>
      <protection hidden="1"/>
    </xf>
    <xf numFmtId="38" fontId="9" fillId="7" borderId="14" xfId="4" applyNumberFormat="1" applyFont="1" applyFill="1" applyBorder="1" applyProtection="1">
      <protection hidden="1"/>
    </xf>
    <xf numFmtId="38" fontId="9" fillId="17" borderId="14" xfId="4" applyNumberFormat="1" applyFont="1" applyFill="1" applyBorder="1" applyProtection="1">
      <protection hidden="1"/>
    </xf>
    <xf numFmtId="38" fontId="9" fillId="16" borderId="14" xfId="4" applyNumberFormat="1" applyFont="1" applyFill="1" applyBorder="1" applyProtection="1">
      <protection hidden="1"/>
    </xf>
    <xf numFmtId="38" fontId="9" fillId="14" borderId="14" xfId="1" applyNumberFormat="1" applyFont="1" applyFill="1" applyBorder="1" applyProtection="1">
      <protection hidden="1"/>
    </xf>
    <xf numFmtId="38" fontId="9" fillId="12" borderId="14" xfId="1" applyNumberFormat="1" applyFont="1" applyFill="1" applyBorder="1" applyProtection="1">
      <protection hidden="1"/>
    </xf>
    <xf numFmtId="38" fontId="9" fillId="13" borderId="14" xfId="1" applyNumberFormat="1" applyFont="1" applyFill="1" applyBorder="1" applyProtection="1">
      <protection hidden="1"/>
    </xf>
    <xf numFmtId="38" fontId="9" fillId="8" borderId="14" xfId="1" applyNumberFormat="1" applyFont="1" applyFill="1" applyBorder="1" applyProtection="1">
      <protection hidden="1"/>
    </xf>
    <xf numFmtId="38" fontId="9" fillId="9" borderId="14" xfId="1" applyNumberFormat="1" applyFont="1" applyFill="1" applyBorder="1" applyProtection="1">
      <protection hidden="1"/>
    </xf>
    <xf numFmtId="38" fontId="9" fillId="18" borderId="0" xfId="5" applyNumberFormat="1" applyFont="1" applyFill="1" applyAlignment="1" applyProtection="1">
      <alignment horizontal="left" indent="1"/>
      <protection hidden="1"/>
    </xf>
    <xf numFmtId="9" fontId="10" fillId="20" borderId="21" xfId="13" applyFont="1" applyFill="1" applyBorder="1" applyAlignment="1" applyProtection="1">
      <alignment horizontal="center" vertical="center"/>
      <protection hidden="1"/>
    </xf>
    <xf numFmtId="165" fontId="13" fillId="18" borderId="0" xfId="0" applyNumberFormat="1" applyFont="1" applyFill="1" applyProtection="1">
      <protection hidden="1"/>
    </xf>
    <xf numFmtId="0" fontId="13" fillId="18" borderId="0" xfId="10" applyFont="1" applyFill="1" applyAlignment="1" applyProtection="1">
      <alignment horizontal="center"/>
      <protection hidden="1"/>
    </xf>
    <xf numFmtId="38" fontId="9" fillId="12" borderId="1" xfId="1" applyNumberFormat="1" applyFont="1" applyFill="1" applyBorder="1" applyProtection="1">
      <protection hidden="1"/>
    </xf>
    <xf numFmtId="38" fontId="9" fillId="13" borderId="1" xfId="1" applyNumberFormat="1" applyFont="1" applyFill="1" applyBorder="1" applyProtection="1">
      <protection hidden="1"/>
    </xf>
    <xf numFmtId="165" fontId="31" fillId="21" borderId="3" xfId="0" applyNumberFormat="1" applyFont="1" applyFill="1" applyBorder="1" applyAlignment="1" applyProtection="1">
      <alignment horizontal="left"/>
      <protection hidden="1"/>
    </xf>
    <xf numFmtId="165" fontId="31" fillId="21" borderId="3" xfId="0" applyNumberFormat="1" applyFont="1" applyFill="1" applyBorder="1" applyAlignment="1" applyProtection="1">
      <alignment horizontal="left" vertical="center" indent="1"/>
      <protection hidden="1"/>
    </xf>
    <xf numFmtId="165" fontId="99" fillId="21" borderId="3" xfId="0" applyNumberFormat="1" applyFont="1" applyFill="1" applyBorder="1" applyAlignment="1" applyProtection="1">
      <alignment horizontal="left" indent="1"/>
      <protection hidden="1"/>
    </xf>
    <xf numFmtId="165" fontId="13" fillId="21" borderId="3" xfId="0" applyNumberFormat="1" applyFont="1" applyFill="1" applyBorder="1" applyAlignment="1" applyProtection="1">
      <alignment horizontal="left"/>
      <protection hidden="1"/>
    </xf>
    <xf numFmtId="0" fontId="18" fillId="21" borderId="7" xfId="5" applyFont="1" applyFill="1" applyBorder="1" applyAlignment="1" applyProtection="1">
      <alignment horizontal="left" vertical="center"/>
      <protection hidden="1"/>
    </xf>
    <xf numFmtId="165" fontId="99" fillId="21" borderId="6" xfId="0" applyNumberFormat="1" applyFont="1" applyFill="1" applyBorder="1" applyAlignment="1" applyProtection="1">
      <alignment horizontal="left" indent="1"/>
      <protection hidden="1"/>
    </xf>
    <xf numFmtId="0" fontId="13" fillId="21" borderId="3" xfId="5" applyFont="1" applyFill="1" applyBorder="1" applyAlignment="1" applyProtection="1">
      <alignment horizontal="left"/>
      <protection hidden="1"/>
    </xf>
    <xf numFmtId="0" fontId="113" fillId="4" borderId="11" xfId="15" applyFont="1" applyFill="1" applyBorder="1" applyAlignment="1" applyProtection="1">
      <alignment horizontal="center" vertical="center"/>
      <protection hidden="1"/>
    </xf>
    <xf numFmtId="167" fontId="18" fillId="4" borderId="10" xfId="11" applyNumberFormat="1" applyFont="1" applyFill="1" applyBorder="1" applyProtection="1">
      <protection hidden="1"/>
    </xf>
    <xf numFmtId="38" fontId="9" fillId="18" borderId="0" xfId="5" applyNumberFormat="1" applyFont="1" applyFill="1" applyAlignment="1" applyProtection="1">
      <alignment horizontal="left"/>
      <protection hidden="1"/>
    </xf>
    <xf numFmtId="38" fontId="9" fillId="18" borderId="0" xfId="5" applyNumberFormat="1" applyFont="1" applyFill="1" applyProtection="1">
      <protection hidden="1"/>
    </xf>
    <xf numFmtId="38" fontId="26" fillId="20" borderId="7" xfId="5" applyNumberFormat="1" applyFont="1" applyFill="1" applyBorder="1" applyAlignment="1" applyProtection="1">
      <alignment horizontal="center" vertical="center"/>
      <protection hidden="1"/>
    </xf>
    <xf numFmtId="38" fontId="26" fillId="20" borderId="2" xfId="5" applyNumberFormat="1" applyFont="1" applyFill="1" applyBorder="1" applyAlignment="1" applyProtection="1">
      <alignment horizontal="center" vertical="center"/>
      <protection hidden="1"/>
    </xf>
    <xf numFmtId="38" fontId="9" fillId="18" borderId="0" xfId="7" applyNumberFormat="1" applyFont="1" applyFill="1" applyAlignment="1" applyProtection="1">
      <alignment horizontal="left" indent="2"/>
      <protection hidden="1"/>
    </xf>
    <xf numFmtId="38" fontId="9" fillId="18" borderId="0" xfId="5" applyNumberFormat="1" applyFont="1" applyFill="1" applyAlignment="1" applyProtection="1">
      <alignment horizontal="center"/>
      <protection hidden="1"/>
    </xf>
    <xf numFmtId="38" fontId="9" fillId="18" borderId="0" xfId="5" applyNumberFormat="1" applyFont="1" applyFill="1" applyAlignment="1" applyProtection="1">
      <alignment vertical="center"/>
      <protection hidden="1"/>
    </xf>
    <xf numFmtId="38" fontId="9" fillId="18" borderId="0" xfId="7" applyNumberFormat="1" applyFont="1" applyFill="1" applyAlignment="1" applyProtection="1">
      <alignment horizontal="left" indent="1"/>
      <protection hidden="1"/>
    </xf>
    <xf numFmtId="0" fontId="8" fillId="18" borderId="0" xfId="0" applyFont="1" applyFill="1" applyAlignment="1" applyProtection="1">
      <alignment horizontal="left" vertical="center"/>
      <protection hidden="1"/>
    </xf>
    <xf numFmtId="0" fontId="8" fillId="18" borderId="0" xfId="0" applyFont="1" applyFill="1" applyAlignment="1" applyProtection="1">
      <alignment vertical="center"/>
      <protection hidden="1"/>
    </xf>
    <xf numFmtId="167" fontId="8" fillId="18" borderId="0" xfId="11" applyNumberFormat="1" applyFont="1" applyFill="1" applyProtection="1">
      <protection hidden="1"/>
    </xf>
    <xf numFmtId="0" fontId="8" fillId="18" borderId="0" xfId="0" applyFont="1" applyFill="1" applyAlignment="1" applyProtection="1">
      <alignment horizontal="right" vertical="center"/>
      <protection hidden="1"/>
    </xf>
    <xf numFmtId="0" fontId="43" fillId="18" borderId="0" xfId="5" applyFont="1" applyFill="1" applyAlignment="1" applyProtection="1">
      <alignment horizontal="center"/>
      <protection hidden="1"/>
    </xf>
    <xf numFmtId="38" fontId="44" fillId="18" borderId="0" xfId="0" applyNumberFormat="1" applyFont="1" applyFill="1" applyProtection="1">
      <protection hidden="1"/>
    </xf>
    <xf numFmtId="38" fontId="43" fillId="18" borderId="0" xfId="5" applyNumberFormat="1" applyFont="1" applyFill="1" applyProtection="1">
      <protection hidden="1"/>
    </xf>
    <xf numFmtId="38" fontId="44" fillId="18" borderId="0" xfId="0" applyNumberFormat="1" applyFont="1" applyFill="1" applyAlignment="1" applyProtection="1">
      <alignment horizontal="center"/>
      <protection hidden="1"/>
    </xf>
    <xf numFmtId="38" fontId="44" fillId="18" borderId="0" xfId="0" applyNumberFormat="1" applyFont="1" applyFill="1" applyAlignment="1" applyProtection="1">
      <alignment horizontal="left"/>
      <protection hidden="1"/>
    </xf>
    <xf numFmtId="38" fontId="42" fillId="18" borderId="0" xfId="1" applyNumberFormat="1" applyFont="1" applyFill="1" applyAlignment="1" applyProtection="1">
      <alignment horizontal="center"/>
      <protection hidden="1"/>
    </xf>
    <xf numFmtId="38" fontId="75" fillId="18" borderId="0" xfId="5" applyNumberFormat="1" applyFont="1" applyFill="1" applyProtection="1">
      <protection hidden="1"/>
    </xf>
    <xf numFmtId="38" fontId="45" fillId="18" borderId="0" xfId="5" applyNumberFormat="1" applyFont="1" applyFill="1" applyProtection="1">
      <protection hidden="1"/>
    </xf>
    <xf numFmtId="38" fontId="45" fillId="18" borderId="0" xfId="5" applyNumberFormat="1" applyFont="1" applyFill="1" applyAlignment="1" applyProtection="1">
      <alignment horizontal="center"/>
      <protection hidden="1"/>
    </xf>
    <xf numFmtId="38" fontId="45" fillId="18" borderId="0" xfId="5" applyNumberFormat="1" applyFont="1" applyFill="1" applyAlignment="1" applyProtection="1">
      <alignment horizontal="left"/>
      <protection hidden="1"/>
    </xf>
    <xf numFmtId="38" fontId="42" fillId="18" borderId="0" xfId="5" applyNumberFormat="1" applyFont="1" applyFill="1" applyAlignment="1" applyProtection="1">
      <alignment horizontal="center"/>
      <protection hidden="1"/>
    </xf>
    <xf numFmtId="38" fontId="13" fillId="18" borderId="0" xfId="1" applyNumberFormat="1" applyFont="1" applyFill="1" applyAlignment="1" applyProtection="1">
      <alignment horizontal="center"/>
      <protection hidden="1"/>
    </xf>
    <xf numFmtId="38" fontId="13" fillId="18" borderId="0" xfId="4" applyNumberFormat="1" applyFont="1" applyFill="1" applyAlignment="1" applyProtection="1">
      <alignment horizontal="left" indent="1"/>
      <protection hidden="1"/>
    </xf>
    <xf numFmtId="38" fontId="13" fillId="18" borderId="0" xfId="4" applyNumberFormat="1" applyFont="1" applyFill="1" applyProtection="1">
      <protection hidden="1"/>
    </xf>
    <xf numFmtId="38" fontId="13" fillId="18" borderId="0" xfId="4" applyNumberFormat="1" applyFont="1" applyFill="1" applyAlignment="1" applyProtection="1">
      <alignment horizontal="left"/>
      <protection hidden="1"/>
    </xf>
    <xf numFmtId="38" fontId="13" fillId="18" borderId="0" xfId="1" applyNumberFormat="1" applyFont="1" applyFill="1" applyAlignment="1" applyProtection="1">
      <alignment horizontal="left"/>
      <protection hidden="1"/>
    </xf>
    <xf numFmtId="38" fontId="26" fillId="18" borderId="0" xfId="4" applyNumberFormat="1" applyFont="1" applyFill="1" applyProtection="1">
      <protection hidden="1"/>
    </xf>
    <xf numFmtId="38" fontId="13" fillId="18" borderId="0" xfId="1" applyNumberFormat="1" applyFont="1" applyFill="1" applyAlignment="1" applyProtection="1">
      <alignment horizontal="right" indent="1"/>
      <protection hidden="1"/>
    </xf>
    <xf numFmtId="38" fontId="13" fillId="18" borderId="0" xfId="1" applyNumberFormat="1" applyFont="1" applyFill="1" applyAlignment="1" applyProtection="1">
      <alignment horizontal="right"/>
      <protection hidden="1"/>
    </xf>
    <xf numFmtId="38" fontId="13" fillId="18" borderId="0" xfId="1" applyNumberFormat="1" applyFont="1" applyFill="1" applyProtection="1">
      <protection hidden="1"/>
    </xf>
    <xf numFmtId="38" fontId="14" fillId="18" borderId="0" xfId="4" applyNumberFormat="1" applyFont="1" applyFill="1" applyProtection="1">
      <protection hidden="1"/>
    </xf>
    <xf numFmtId="38" fontId="15" fillId="18" borderId="0" xfId="0" applyNumberFormat="1" applyFont="1" applyFill="1" applyProtection="1">
      <protection hidden="1"/>
    </xf>
    <xf numFmtId="38" fontId="99" fillId="18" borderId="0" xfId="1" applyNumberFormat="1" applyFont="1" applyFill="1" applyAlignment="1" applyProtection="1">
      <alignment horizontal="center"/>
      <protection hidden="1"/>
    </xf>
    <xf numFmtId="38" fontId="99" fillId="18" borderId="0" xfId="1" applyNumberFormat="1" applyFont="1" applyFill="1" applyAlignment="1" applyProtection="1">
      <alignment horizontal="left"/>
      <protection hidden="1"/>
    </xf>
    <xf numFmtId="38" fontId="11" fillId="18" borderId="0" xfId="5" applyNumberFormat="1" applyFont="1" applyFill="1" applyAlignment="1" applyProtection="1">
      <alignment vertical="center"/>
      <protection hidden="1"/>
    </xf>
    <xf numFmtId="38" fontId="100" fillId="18" borderId="0" xfId="5" applyNumberFormat="1" applyFont="1" applyFill="1" applyAlignment="1" applyProtection="1">
      <alignment vertical="center"/>
      <protection hidden="1"/>
    </xf>
    <xf numFmtId="170" fontId="99" fillId="18" borderId="0" xfId="5" applyNumberFormat="1" applyFont="1" applyFill="1" applyAlignment="1" applyProtection="1">
      <alignment horizontal="center"/>
      <protection hidden="1"/>
    </xf>
    <xf numFmtId="38" fontId="99" fillId="18" borderId="0" xfId="4" applyNumberFormat="1" applyFont="1" applyFill="1" applyAlignment="1" applyProtection="1">
      <alignment horizontal="left"/>
      <protection hidden="1"/>
    </xf>
    <xf numFmtId="38" fontId="11" fillId="18" borderId="0" xfId="5" applyNumberFormat="1" applyFont="1" applyFill="1" applyAlignment="1" applyProtection="1">
      <alignment horizontal="left"/>
      <protection hidden="1"/>
    </xf>
    <xf numFmtId="0" fontId="9" fillId="18" borderId="0" xfId="0" applyFont="1" applyFill="1" applyProtection="1">
      <protection hidden="1"/>
    </xf>
    <xf numFmtId="0" fontId="18" fillId="18" borderId="0" xfId="0" applyFont="1" applyFill="1" applyProtection="1">
      <protection hidden="1"/>
    </xf>
    <xf numFmtId="38" fontId="11" fillId="18" borderId="0" xfId="1" applyNumberFormat="1" applyFont="1" applyFill="1" applyAlignment="1" applyProtection="1">
      <alignment horizontal="center"/>
      <protection hidden="1"/>
    </xf>
    <xf numFmtId="38" fontId="11" fillId="18" borderId="0" xfId="7" applyNumberFormat="1" applyFont="1" applyFill="1" applyAlignment="1" applyProtection="1">
      <alignment horizontal="center"/>
      <protection hidden="1"/>
    </xf>
    <xf numFmtId="38" fontId="11" fillId="18" borderId="0" xfId="1" applyNumberFormat="1" applyFont="1" applyFill="1" applyAlignment="1" applyProtection="1">
      <alignment horizontal="left"/>
      <protection hidden="1"/>
    </xf>
    <xf numFmtId="170" fontId="11" fillId="18" borderId="0" xfId="5" applyNumberFormat="1" applyFont="1" applyFill="1" applyAlignment="1" applyProtection="1">
      <alignment horizontal="center"/>
      <protection hidden="1"/>
    </xf>
    <xf numFmtId="170" fontId="11" fillId="18" borderId="0" xfId="5" applyNumberFormat="1" applyFont="1" applyFill="1" applyAlignment="1" applyProtection="1">
      <alignment horizontal="left" indent="1"/>
      <protection hidden="1"/>
    </xf>
    <xf numFmtId="170" fontId="11" fillId="18" borderId="0" xfId="5" applyNumberFormat="1" applyFont="1" applyFill="1" applyProtection="1">
      <protection hidden="1"/>
    </xf>
    <xf numFmtId="38" fontId="11" fillId="18" borderId="0" xfId="4" applyNumberFormat="1" applyFont="1" applyFill="1" applyAlignment="1" applyProtection="1">
      <alignment horizontal="left"/>
      <protection hidden="1"/>
    </xf>
    <xf numFmtId="38" fontId="11" fillId="18" borderId="0" xfId="5" applyNumberFormat="1" applyFont="1" applyFill="1" applyProtection="1">
      <protection hidden="1"/>
    </xf>
    <xf numFmtId="38" fontId="9" fillId="18" borderId="0" xfId="1" applyNumberFormat="1" applyFont="1" applyFill="1" applyAlignment="1" applyProtection="1">
      <alignment horizontal="center"/>
      <protection hidden="1"/>
    </xf>
    <xf numFmtId="0" fontId="9" fillId="18" borderId="0" xfId="0" applyFont="1" applyFill="1" applyAlignment="1" applyProtection="1">
      <alignment horizontal="left" indent="1"/>
      <protection hidden="1"/>
    </xf>
    <xf numFmtId="38" fontId="9" fillId="18" borderId="0" xfId="1" applyNumberFormat="1" applyFont="1" applyFill="1" applyAlignment="1" applyProtection="1">
      <alignment horizontal="left"/>
      <protection hidden="1"/>
    </xf>
    <xf numFmtId="38" fontId="9" fillId="18" borderId="0" xfId="0" applyNumberFormat="1" applyFont="1" applyFill="1" applyAlignment="1" applyProtection="1">
      <alignment vertical="top"/>
      <protection hidden="1"/>
    </xf>
    <xf numFmtId="38" fontId="9" fillId="18" borderId="0" xfId="7" applyNumberFormat="1" applyFont="1" applyFill="1" applyProtection="1">
      <protection hidden="1"/>
    </xf>
    <xf numFmtId="38" fontId="9" fillId="18" borderId="0" xfId="0" applyNumberFormat="1" applyFont="1" applyFill="1" applyAlignment="1" applyProtection="1">
      <alignment horizontal="left" vertical="center"/>
      <protection hidden="1"/>
    </xf>
    <xf numFmtId="38" fontId="9" fillId="18" borderId="0" xfId="7" applyNumberFormat="1" applyFont="1" applyFill="1" applyAlignment="1" applyProtection="1">
      <alignment horizontal="center"/>
      <protection hidden="1"/>
    </xf>
    <xf numFmtId="38" fontId="9" fillId="18" borderId="0" xfId="0" applyNumberFormat="1" applyFont="1" applyFill="1" applyProtection="1">
      <protection hidden="1"/>
    </xf>
    <xf numFmtId="0" fontId="9" fillId="18" borderId="0" xfId="0" applyFont="1" applyFill="1" applyAlignment="1" applyProtection="1">
      <alignment horizontal="left"/>
      <protection hidden="1"/>
    </xf>
    <xf numFmtId="0" fontId="9" fillId="18" borderId="0" xfId="5" applyFont="1" applyFill="1" applyAlignment="1" applyProtection="1">
      <alignment horizontal="left" vertical="center"/>
      <protection hidden="1"/>
    </xf>
    <xf numFmtId="0" fontId="96" fillId="18" borderId="0" xfId="0" quotePrefix="1" applyFont="1" applyFill="1" applyAlignment="1" applyProtection="1">
      <alignment horizontal="left"/>
      <protection hidden="1"/>
    </xf>
    <xf numFmtId="0" fontId="9" fillId="18" borderId="12" xfId="0" applyFont="1" applyFill="1" applyBorder="1" applyAlignment="1" applyProtection="1">
      <alignment horizontal="left"/>
      <protection hidden="1"/>
    </xf>
    <xf numFmtId="38" fontId="9" fillId="18" borderId="0" xfId="1" applyNumberFormat="1" applyFont="1" applyFill="1" applyAlignment="1" applyProtection="1">
      <alignment horizontal="center" vertical="center"/>
      <protection hidden="1"/>
    </xf>
    <xf numFmtId="0" fontId="96" fillId="18" borderId="0" xfId="0" applyFont="1" applyFill="1" applyAlignment="1" applyProtection="1">
      <alignment horizontal="left"/>
      <protection hidden="1"/>
    </xf>
    <xf numFmtId="38" fontId="99" fillId="18" borderId="0" xfId="5" applyNumberFormat="1" applyFont="1" applyFill="1" applyAlignment="1" applyProtection="1">
      <alignment vertical="center"/>
      <protection hidden="1"/>
    </xf>
    <xf numFmtId="38" fontId="99" fillId="18" borderId="0" xfId="5" applyNumberFormat="1" applyFont="1" applyFill="1" applyAlignment="1" applyProtection="1">
      <alignment horizontal="center" vertical="center"/>
      <protection hidden="1"/>
    </xf>
    <xf numFmtId="38" fontId="9" fillId="18" borderId="0" xfId="7" applyNumberFormat="1" applyFont="1" applyFill="1" applyAlignment="1" applyProtection="1">
      <alignment horizontal="left"/>
      <protection hidden="1"/>
    </xf>
    <xf numFmtId="38" fontId="18" fillId="18" borderId="0" xfId="7" applyNumberFormat="1" applyFont="1" applyFill="1" applyAlignment="1" applyProtection="1">
      <alignment horizontal="center"/>
      <protection hidden="1"/>
    </xf>
    <xf numFmtId="38" fontId="18" fillId="18" borderId="0" xfId="7" applyNumberFormat="1" applyFont="1" applyFill="1" applyAlignment="1" applyProtection="1">
      <alignment horizontal="left"/>
      <protection hidden="1"/>
    </xf>
    <xf numFmtId="38" fontId="9" fillId="18" borderId="0" xfId="7" applyNumberFormat="1" applyFont="1" applyFill="1" applyAlignment="1" applyProtection="1">
      <alignment horizontal="right" indent="1"/>
      <protection hidden="1"/>
    </xf>
    <xf numFmtId="38" fontId="18" fillId="21" borderId="3" xfId="5" applyNumberFormat="1" applyFont="1" applyFill="1" applyBorder="1" applyAlignment="1" applyProtection="1">
      <alignment horizontal="left" indent="1"/>
      <protection hidden="1"/>
    </xf>
    <xf numFmtId="38" fontId="9" fillId="21" borderId="18" xfId="5" applyNumberFormat="1" applyFont="1" applyFill="1" applyBorder="1" applyAlignment="1" applyProtection="1">
      <alignment horizontal="left" indent="1"/>
      <protection hidden="1"/>
    </xf>
    <xf numFmtId="38" fontId="9" fillId="21" borderId="12" xfId="5" applyNumberFormat="1" applyFont="1" applyFill="1" applyBorder="1" applyAlignment="1" applyProtection="1">
      <alignment horizontal="left" indent="1"/>
      <protection hidden="1"/>
    </xf>
    <xf numFmtId="38" fontId="9" fillId="21" borderId="12" xfId="5" applyNumberFormat="1" applyFont="1" applyFill="1" applyBorder="1" applyAlignment="1" applyProtection="1">
      <alignment horizontal="left" vertical="center" indent="1"/>
      <protection hidden="1"/>
    </xf>
    <xf numFmtId="38" fontId="18" fillId="21" borderId="3" xfId="7" applyNumberFormat="1" applyFont="1" applyFill="1" applyBorder="1" applyAlignment="1" applyProtection="1">
      <alignment horizontal="left" vertical="center" indent="1"/>
      <protection hidden="1"/>
    </xf>
    <xf numFmtId="38" fontId="9" fillId="21" borderId="0" xfId="7" applyNumberFormat="1" applyFont="1" applyFill="1" applyAlignment="1" applyProtection="1">
      <alignment horizontal="left" vertical="center" indent="1"/>
      <protection hidden="1"/>
    </xf>
    <xf numFmtId="38" fontId="9" fillId="21" borderId="0" xfId="5" applyNumberFormat="1" applyFont="1" applyFill="1" applyAlignment="1" applyProtection="1">
      <alignment horizontal="left" vertical="center" indent="1"/>
      <protection hidden="1"/>
    </xf>
    <xf numFmtId="38" fontId="9" fillId="21" borderId="3" xfId="5" applyNumberFormat="1" applyFont="1" applyFill="1" applyBorder="1" applyAlignment="1" applyProtection="1">
      <alignment horizontal="left" vertical="center" indent="1"/>
      <protection hidden="1"/>
    </xf>
    <xf numFmtId="38" fontId="9" fillId="21" borderId="0" xfId="7" applyNumberFormat="1" applyFont="1" applyFill="1" applyAlignment="1" applyProtection="1">
      <alignment horizontal="left" indent="1"/>
      <protection hidden="1"/>
    </xf>
    <xf numFmtId="38" fontId="9" fillId="21" borderId="7" xfId="7" applyNumberFormat="1" applyFont="1" applyFill="1" applyBorder="1" applyAlignment="1" applyProtection="1">
      <alignment horizontal="left" indent="1"/>
      <protection hidden="1"/>
    </xf>
    <xf numFmtId="38" fontId="9" fillId="21" borderId="2" xfId="7" applyNumberFormat="1" applyFont="1" applyFill="1" applyBorder="1" applyAlignment="1" applyProtection="1">
      <alignment horizontal="left" indent="1"/>
      <protection hidden="1"/>
    </xf>
    <xf numFmtId="38" fontId="9" fillId="21" borderId="2" xfId="5" applyNumberFormat="1" applyFont="1" applyFill="1" applyBorder="1" applyProtection="1">
      <protection hidden="1"/>
    </xf>
    <xf numFmtId="38" fontId="9" fillId="18" borderId="0" xfId="1" applyNumberFormat="1" applyFont="1" applyFill="1" applyProtection="1">
      <protection hidden="1"/>
    </xf>
    <xf numFmtId="38" fontId="9" fillId="18" borderId="0" xfId="1" applyNumberFormat="1" applyFont="1" applyFill="1" applyAlignment="1" applyProtection="1">
      <alignment horizontal="right"/>
      <protection hidden="1"/>
    </xf>
    <xf numFmtId="38" fontId="9" fillId="18" borderId="0" xfId="4" applyNumberFormat="1" applyFont="1" applyFill="1" applyAlignment="1" applyProtection="1">
      <alignment horizontal="right"/>
      <protection hidden="1"/>
    </xf>
    <xf numFmtId="38" fontId="9" fillId="18" borderId="0" xfId="4" applyNumberFormat="1" applyFont="1" applyFill="1" applyAlignment="1" applyProtection="1">
      <alignment horizontal="left"/>
      <protection hidden="1"/>
    </xf>
    <xf numFmtId="38" fontId="9" fillId="18" borderId="0" xfId="4" applyNumberFormat="1" applyFont="1" applyFill="1" applyProtection="1">
      <protection hidden="1"/>
    </xf>
    <xf numFmtId="38" fontId="8" fillId="18" borderId="0" xfId="4" applyNumberFormat="1" applyFont="1" applyFill="1" applyProtection="1">
      <protection hidden="1"/>
    </xf>
    <xf numFmtId="38" fontId="9" fillId="18" borderId="0" xfId="1" applyNumberFormat="1" applyFont="1" applyFill="1" applyAlignment="1" applyProtection="1">
      <alignment horizontal="left" indent="1"/>
      <protection hidden="1"/>
    </xf>
    <xf numFmtId="0" fontId="10" fillId="18" borderId="0" xfId="0" applyFont="1" applyFill="1" applyProtection="1">
      <protection hidden="1"/>
    </xf>
    <xf numFmtId="167" fontId="61" fillId="18" borderId="0" xfId="1" applyNumberFormat="1" applyFont="1" applyFill="1" applyProtection="1">
      <protection hidden="1"/>
    </xf>
    <xf numFmtId="38" fontId="0" fillId="18" borderId="0" xfId="0" applyNumberFormat="1" applyFill="1" applyProtection="1">
      <protection hidden="1"/>
    </xf>
    <xf numFmtId="38" fontId="0" fillId="18" borderId="0" xfId="0" applyNumberFormat="1" applyFill="1" applyAlignment="1" applyProtection="1">
      <alignment horizontal="right"/>
      <protection hidden="1"/>
    </xf>
    <xf numFmtId="38" fontId="19" fillId="18" borderId="0" xfId="0" applyNumberFormat="1" applyFont="1" applyFill="1" applyProtection="1">
      <protection hidden="1"/>
    </xf>
    <xf numFmtId="38" fontId="13" fillId="18" borderId="0" xfId="1" applyNumberFormat="1" applyFont="1" applyFill="1" applyAlignment="1" applyProtection="1">
      <alignment horizontal="left" indent="1"/>
      <protection hidden="1"/>
    </xf>
    <xf numFmtId="0" fontId="0" fillId="18" borderId="0" xfId="0" applyFill="1" applyProtection="1">
      <protection hidden="1"/>
    </xf>
    <xf numFmtId="38" fontId="13" fillId="18" borderId="0" xfId="1" applyNumberFormat="1" applyFont="1" applyFill="1" applyAlignment="1" applyProtection="1">
      <alignment horizontal="center" vertical="center"/>
      <protection hidden="1"/>
    </xf>
    <xf numFmtId="38" fontId="13" fillId="18" borderId="0" xfId="1" applyNumberFormat="1" applyFont="1" applyFill="1" applyAlignment="1" applyProtection="1">
      <alignment vertical="center"/>
      <protection hidden="1"/>
    </xf>
    <xf numFmtId="38" fontId="13" fillId="18" borderId="0" xfId="1" applyNumberFormat="1" applyFont="1" applyFill="1" applyAlignment="1" applyProtection="1">
      <alignment horizontal="right" vertical="center"/>
      <protection hidden="1"/>
    </xf>
    <xf numFmtId="38" fontId="13" fillId="18" borderId="0" xfId="1" applyNumberFormat="1" applyFont="1" applyFill="1" applyAlignment="1" applyProtection="1">
      <alignment horizontal="left" vertical="center" indent="1"/>
      <protection hidden="1"/>
    </xf>
    <xf numFmtId="38" fontId="0" fillId="18" borderId="0" xfId="0" applyNumberFormat="1" applyFill="1" applyAlignment="1" applyProtection="1">
      <alignment vertical="center"/>
      <protection hidden="1"/>
    </xf>
    <xf numFmtId="9" fontId="1" fillId="18" borderId="0" xfId="8" applyFont="1" applyFill="1" applyAlignment="1" applyProtection="1">
      <alignment horizontal="right" vertical="center"/>
      <protection hidden="1"/>
    </xf>
    <xf numFmtId="38" fontId="8" fillId="18" borderId="0" xfId="1" applyNumberFormat="1" applyFont="1" applyFill="1" applyProtection="1">
      <protection hidden="1"/>
    </xf>
    <xf numFmtId="38" fontId="25" fillId="18" borderId="0" xfId="1" applyNumberFormat="1" applyFont="1" applyFill="1" applyProtection="1">
      <protection hidden="1"/>
    </xf>
    <xf numFmtId="38" fontId="10" fillId="18" borderId="0" xfId="0" applyNumberFormat="1" applyFont="1" applyFill="1" applyProtection="1">
      <protection hidden="1"/>
    </xf>
    <xf numFmtId="0" fontId="9" fillId="18" borderId="0" xfId="4" applyFont="1" applyFill="1" applyProtection="1">
      <protection hidden="1"/>
    </xf>
    <xf numFmtId="38" fontId="60" fillId="18" borderId="0" xfId="1" applyNumberFormat="1" applyFont="1" applyFill="1" applyProtection="1">
      <protection hidden="1"/>
    </xf>
    <xf numFmtId="38" fontId="57" fillId="18" borderId="0" xfId="1" applyNumberFormat="1" applyFont="1" applyFill="1" applyProtection="1">
      <protection hidden="1"/>
    </xf>
    <xf numFmtId="0" fontId="8" fillId="18" borderId="0" xfId="0" applyFont="1" applyFill="1" applyAlignment="1" applyProtection="1">
      <alignment horizontal="center" vertical="center"/>
      <protection hidden="1"/>
    </xf>
    <xf numFmtId="0" fontId="43" fillId="18" borderId="0" xfId="5" applyFont="1" applyFill="1" applyProtection="1">
      <protection hidden="1"/>
    </xf>
    <xf numFmtId="0" fontId="43" fillId="18" borderId="0" xfId="5" applyFont="1" applyFill="1" applyAlignment="1" applyProtection="1">
      <alignment horizontal="right"/>
      <protection hidden="1"/>
    </xf>
    <xf numFmtId="0" fontId="8" fillId="18" borderId="0" xfId="5" applyFont="1" applyFill="1" applyProtection="1">
      <protection hidden="1"/>
    </xf>
    <xf numFmtId="0" fontId="43" fillId="18" borderId="0" xfId="5" applyFont="1" applyFill="1" applyAlignment="1" applyProtection="1">
      <alignment horizontal="left" indent="1"/>
      <protection hidden="1"/>
    </xf>
    <xf numFmtId="38" fontId="42" fillId="18" borderId="0" xfId="1" applyNumberFormat="1" applyFont="1" applyFill="1" applyProtection="1">
      <protection hidden="1"/>
    </xf>
    <xf numFmtId="38" fontId="75" fillId="18" borderId="0" xfId="1" applyNumberFormat="1" applyFont="1" applyFill="1" applyProtection="1">
      <protection hidden="1"/>
    </xf>
    <xf numFmtId="38" fontId="42" fillId="18" borderId="0" xfId="1" applyNumberFormat="1" applyFont="1" applyFill="1" applyAlignment="1" applyProtection="1">
      <alignment horizontal="right"/>
      <protection hidden="1"/>
    </xf>
    <xf numFmtId="38" fontId="42" fillId="18" borderId="0" xfId="0" applyNumberFormat="1" applyFont="1" applyFill="1" applyProtection="1">
      <protection hidden="1"/>
    </xf>
    <xf numFmtId="38" fontId="42" fillId="18" borderId="0" xfId="0" applyNumberFormat="1" applyFont="1" applyFill="1" applyAlignment="1" applyProtection="1">
      <alignment horizontal="right"/>
      <protection hidden="1"/>
    </xf>
    <xf numFmtId="38" fontId="42" fillId="18" borderId="0" xfId="4" applyNumberFormat="1" applyFont="1" applyFill="1" applyProtection="1">
      <protection hidden="1"/>
    </xf>
    <xf numFmtId="172" fontId="9" fillId="18" borderId="0" xfId="8" applyNumberFormat="1" applyFont="1" applyFill="1" applyBorder="1" applyAlignment="1" applyProtection="1">
      <alignment horizontal="right" indent="1"/>
      <protection hidden="1"/>
    </xf>
    <xf numFmtId="38" fontId="42" fillId="18" borderId="0" xfId="1" applyNumberFormat="1" applyFont="1" applyFill="1" applyAlignment="1" applyProtection="1">
      <alignment horizontal="left" indent="1"/>
      <protection hidden="1"/>
    </xf>
    <xf numFmtId="38" fontId="59" fillId="18" borderId="0" xfId="0" applyNumberFormat="1" applyFont="1" applyFill="1" applyProtection="1">
      <protection hidden="1"/>
    </xf>
    <xf numFmtId="38" fontId="13" fillId="18" borderId="0" xfId="4" applyNumberFormat="1" applyFont="1" applyFill="1" applyAlignment="1" applyProtection="1">
      <alignment horizontal="right"/>
      <protection hidden="1"/>
    </xf>
    <xf numFmtId="38" fontId="13" fillId="18" borderId="0" xfId="4" applyNumberFormat="1" applyFont="1" applyFill="1" applyAlignment="1" applyProtection="1">
      <alignment horizontal="right" indent="1"/>
      <protection hidden="1"/>
    </xf>
    <xf numFmtId="38" fontId="9" fillId="18" borderId="0" xfId="1" quotePrefix="1" applyNumberFormat="1" applyFont="1" applyFill="1" applyAlignment="1" applyProtection="1">
      <alignment vertical="center"/>
      <protection hidden="1"/>
    </xf>
    <xf numFmtId="38" fontId="8" fillId="18" borderId="0" xfId="1" applyNumberFormat="1" applyFont="1" applyFill="1" applyAlignment="1" applyProtection="1">
      <alignment horizontal="left"/>
      <protection hidden="1"/>
    </xf>
    <xf numFmtId="38" fontId="26" fillId="18" borderId="0" xfId="1" applyNumberFormat="1" applyFont="1" applyFill="1" applyAlignment="1" applyProtection="1">
      <alignment horizontal="center"/>
      <protection hidden="1"/>
    </xf>
    <xf numFmtId="38" fontId="26" fillId="18" borderId="0" xfId="1" applyNumberFormat="1" applyFont="1" applyFill="1" applyAlignment="1" applyProtection="1">
      <alignment horizontal="left"/>
      <protection hidden="1"/>
    </xf>
    <xf numFmtId="38" fontId="26" fillId="18" borderId="0" xfId="4" applyNumberFormat="1" applyFont="1" applyFill="1" applyAlignment="1" applyProtection="1">
      <alignment horizontal="right"/>
      <protection hidden="1"/>
    </xf>
    <xf numFmtId="38" fontId="26" fillId="18" borderId="0" xfId="1" applyNumberFormat="1" applyFont="1" applyFill="1" applyProtection="1">
      <protection hidden="1"/>
    </xf>
    <xf numFmtId="38" fontId="26" fillId="18" borderId="0" xfId="0" applyNumberFormat="1" applyFont="1" applyFill="1" applyProtection="1">
      <protection hidden="1"/>
    </xf>
    <xf numFmtId="38" fontId="26" fillId="18" borderId="0" xfId="1" applyNumberFormat="1" applyFont="1" applyFill="1" applyAlignment="1" applyProtection="1">
      <alignment horizontal="right"/>
      <protection hidden="1"/>
    </xf>
    <xf numFmtId="38" fontId="26" fillId="18" borderId="0" xfId="1" applyNumberFormat="1" applyFont="1" applyFill="1" applyAlignment="1" applyProtection="1">
      <alignment horizontal="left" indent="1"/>
      <protection hidden="1"/>
    </xf>
    <xf numFmtId="38" fontId="53" fillId="18" borderId="0" xfId="1" applyNumberFormat="1" applyFont="1" applyFill="1" applyAlignment="1" applyProtection="1">
      <alignment horizontal="center"/>
      <protection hidden="1"/>
    </xf>
    <xf numFmtId="38" fontId="53" fillId="18" borderId="0" xfId="1" applyNumberFormat="1" applyFont="1" applyFill="1" applyProtection="1">
      <protection hidden="1"/>
    </xf>
    <xf numFmtId="38" fontId="53" fillId="18" borderId="0" xfId="4" applyNumberFormat="1" applyFont="1" applyFill="1" applyProtection="1">
      <protection hidden="1"/>
    </xf>
    <xf numFmtId="38" fontId="11" fillId="18" borderId="0" xfId="4" applyNumberFormat="1" applyFont="1" applyFill="1" applyAlignment="1" applyProtection="1">
      <alignment horizontal="right"/>
      <protection hidden="1"/>
    </xf>
    <xf numFmtId="38" fontId="11" fillId="18" borderId="0" xfId="4" applyNumberFormat="1" applyFont="1" applyFill="1" applyProtection="1">
      <protection hidden="1"/>
    </xf>
    <xf numFmtId="38" fontId="11" fillId="18" borderId="0" xfId="1" applyNumberFormat="1" applyFont="1" applyFill="1" applyProtection="1">
      <protection hidden="1"/>
    </xf>
    <xf numFmtId="38" fontId="11" fillId="18" borderId="0" xfId="4" quotePrefix="1" applyNumberFormat="1" applyFont="1" applyFill="1" applyAlignment="1" applyProtection="1">
      <alignment horizontal="left"/>
      <protection hidden="1"/>
    </xf>
    <xf numFmtId="38" fontId="11" fillId="18" borderId="0" xfId="4" applyNumberFormat="1" applyFont="1" applyFill="1" applyAlignment="1" applyProtection="1">
      <alignment horizontal="center"/>
      <protection hidden="1"/>
    </xf>
    <xf numFmtId="38" fontId="85" fillId="18" borderId="0" xfId="1" applyNumberFormat="1" applyFont="1" applyFill="1" applyProtection="1">
      <protection hidden="1"/>
    </xf>
    <xf numFmtId="38" fontId="26" fillId="18" borderId="0" xfId="1" applyNumberFormat="1" applyFont="1" applyFill="1" applyAlignment="1" applyProtection="1">
      <alignment horizontal="center" vertical="center"/>
      <protection hidden="1"/>
    </xf>
    <xf numFmtId="38" fontId="26" fillId="18" borderId="0" xfId="5" applyNumberFormat="1" applyFont="1" applyFill="1" applyAlignment="1" applyProtection="1">
      <alignment vertical="center"/>
      <protection hidden="1"/>
    </xf>
    <xf numFmtId="0" fontId="26" fillId="18" borderId="0" xfId="0" applyFont="1" applyFill="1" applyAlignment="1" applyProtection="1">
      <alignment horizontal="left" vertical="center"/>
      <protection hidden="1"/>
    </xf>
    <xf numFmtId="0" fontId="26" fillId="18" borderId="0" xfId="0" applyFont="1" applyFill="1" applyAlignment="1" applyProtection="1">
      <alignment horizontal="left" vertical="center" indent="1"/>
      <protection hidden="1"/>
    </xf>
    <xf numFmtId="0" fontId="26" fillId="18" borderId="0" xfId="0" applyFont="1" applyFill="1" applyAlignment="1" applyProtection="1">
      <alignment vertical="center"/>
      <protection hidden="1"/>
    </xf>
    <xf numFmtId="0" fontId="7" fillId="18" borderId="0" xfId="0" applyFont="1" applyFill="1" applyAlignment="1" applyProtection="1">
      <alignment horizontal="left" vertical="center"/>
      <protection hidden="1"/>
    </xf>
    <xf numFmtId="0" fontId="26" fillId="18" borderId="0" xfId="0" applyFont="1" applyFill="1" applyAlignment="1" applyProtection="1">
      <alignment horizontal="center" vertical="center"/>
      <protection hidden="1"/>
    </xf>
    <xf numFmtId="0" fontId="7" fillId="18" borderId="0" xfId="0" applyFont="1" applyFill="1" applyAlignment="1" applyProtection="1">
      <alignment vertical="center"/>
      <protection hidden="1"/>
    </xf>
    <xf numFmtId="38" fontId="26" fillId="18" borderId="0" xfId="5" applyNumberFormat="1" applyFont="1" applyFill="1" applyProtection="1">
      <protection hidden="1"/>
    </xf>
    <xf numFmtId="0" fontId="7" fillId="18" borderId="0" xfId="0" applyFont="1" applyFill="1" applyAlignment="1" applyProtection="1">
      <alignment horizontal="left"/>
      <protection hidden="1"/>
    </xf>
    <xf numFmtId="0" fontId="7" fillId="18" borderId="0" xfId="0" applyFont="1" applyFill="1" applyProtection="1">
      <protection hidden="1"/>
    </xf>
    <xf numFmtId="0" fontId="7" fillId="18" borderId="0" xfId="0" applyFont="1" applyFill="1" applyAlignment="1" applyProtection="1">
      <alignment horizontal="center"/>
      <protection hidden="1"/>
    </xf>
    <xf numFmtId="0" fontId="7" fillId="18" borderId="0" xfId="0" applyFont="1" applyFill="1" applyAlignment="1" applyProtection="1">
      <alignment horizontal="left" indent="1"/>
      <protection hidden="1"/>
    </xf>
    <xf numFmtId="38" fontId="26" fillId="18" borderId="0" xfId="5" applyNumberFormat="1" applyFont="1" applyFill="1" applyAlignment="1" applyProtection="1">
      <alignment horizontal="left"/>
      <protection hidden="1"/>
    </xf>
    <xf numFmtId="0" fontId="7" fillId="18" borderId="0" xfId="0" applyFont="1" applyFill="1" applyAlignment="1" applyProtection="1">
      <alignment horizontal="left" vertical="center" indent="1"/>
      <protection hidden="1"/>
    </xf>
    <xf numFmtId="0" fontId="7" fillId="18" borderId="23" xfId="0" applyFont="1" applyFill="1" applyBorder="1" applyAlignment="1" applyProtection="1">
      <alignment horizontal="center" vertical="center"/>
      <protection hidden="1"/>
    </xf>
    <xf numFmtId="38" fontId="26" fillId="18" borderId="0" xfId="1" applyNumberFormat="1" applyFont="1" applyFill="1" applyAlignment="1" applyProtection="1">
      <alignment horizontal="left" vertical="center" indent="1"/>
      <protection hidden="1"/>
    </xf>
    <xf numFmtId="38" fontId="26" fillId="18" borderId="0" xfId="5" applyNumberFormat="1" applyFont="1" applyFill="1" applyAlignment="1" applyProtection="1">
      <alignment horizontal="left" vertical="center" indent="1"/>
      <protection hidden="1"/>
    </xf>
    <xf numFmtId="0" fontId="11" fillId="18" borderId="0" xfId="0" applyFont="1" applyFill="1" applyAlignment="1" applyProtection="1">
      <alignment vertical="center"/>
      <protection hidden="1"/>
    </xf>
    <xf numFmtId="38" fontId="13" fillId="18" borderId="0" xfId="4" applyNumberFormat="1" applyFont="1" applyFill="1" applyAlignment="1" applyProtection="1">
      <alignment horizontal="center" vertical="center"/>
      <protection hidden="1"/>
    </xf>
    <xf numFmtId="38" fontId="26" fillId="18" borderId="0" xfId="5" applyNumberFormat="1" applyFont="1" applyFill="1" applyAlignment="1" applyProtection="1">
      <alignment horizontal="center" vertical="center"/>
      <protection hidden="1"/>
    </xf>
    <xf numFmtId="38" fontId="71" fillId="18" borderId="0" xfId="4" applyNumberFormat="1" applyFont="1" applyFill="1" applyAlignment="1" applyProtection="1">
      <alignment horizontal="center"/>
      <protection hidden="1"/>
    </xf>
    <xf numFmtId="38" fontId="9" fillId="18" borderId="0" xfId="4" applyNumberFormat="1" applyFont="1" applyFill="1" applyAlignment="1" applyProtection="1">
      <alignment horizontal="center"/>
      <protection hidden="1"/>
    </xf>
    <xf numFmtId="38" fontId="25" fillId="18" borderId="0" xfId="4" applyNumberFormat="1" applyFont="1" applyFill="1" applyAlignment="1" applyProtection="1">
      <alignment horizontal="center"/>
      <protection hidden="1"/>
    </xf>
    <xf numFmtId="38" fontId="67" fillId="18" borderId="0" xfId="1" applyNumberFormat="1" applyFont="1" applyFill="1" applyAlignment="1" applyProtection="1">
      <alignment horizontal="center"/>
      <protection hidden="1"/>
    </xf>
    <xf numFmtId="0" fontId="43" fillId="18" borderId="0" xfId="5" applyFont="1" applyFill="1" applyAlignment="1" applyProtection="1">
      <alignment horizontal="left"/>
      <protection hidden="1"/>
    </xf>
    <xf numFmtId="38" fontId="75" fillId="18" borderId="0" xfId="4" applyNumberFormat="1" applyFont="1" applyFill="1" applyAlignment="1" applyProtection="1">
      <alignment horizontal="left"/>
      <protection hidden="1"/>
    </xf>
    <xf numFmtId="38" fontId="42" fillId="18" borderId="0" xfId="1" applyNumberFormat="1" applyFont="1" applyFill="1" applyAlignment="1" applyProtection="1">
      <alignment horizontal="left"/>
      <protection hidden="1"/>
    </xf>
    <xf numFmtId="38" fontId="26" fillId="18" borderId="0" xfId="4" applyNumberFormat="1" applyFont="1" applyFill="1" applyAlignment="1" applyProtection="1">
      <alignment horizontal="center"/>
      <protection hidden="1"/>
    </xf>
    <xf numFmtId="38" fontId="26" fillId="18" borderId="0" xfId="4" applyNumberFormat="1" applyFont="1" applyFill="1" applyAlignment="1" applyProtection="1">
      <alignment horizontal="left"/>
      <protection hidden="1"/>
    </xf>
    <xf numFmtId="38" fontId="13" fillId="18" borderId="0" xfId="4" applyNumberFormat="1" applyFont="1" applyFill="1" applyAlignment="1" applyProtection="1">
      <alignment vertical="center"/>
      <protection hidden="1"/>
    </xf>
    <xf numFmtId="38" fontId="29" fillId="18" borderId="0" xfId="10" applyNumberFormat="1" applyFont="1" applyFill="1" applyProtection="1">
      <protection hidden="1"/>
    </xf>
    <xf numFmtId="0" fontId="1" fillId="18" borderId="0" xfId="0" applyFont="1" applyFill="1" applyProtection="1">
      <protection hidden="1"/>
    </xf>
    <xf numFmtId="0" fontId="1" fillId="18" borderId="0" xfId="0" applyFont="1" applyFill="1" applyAlignment="1" applyProtection="1">
      <alignment horizontal="left"/>
      <protection hidden="1"/>
    </xf>
    <xf numFmtId="0" fontId="13" fillId="18" borderId="0" xfId="0" applyFont="1" applyFill="1" applyAlignment="1" applyProtection="1">
      <alignment horizontal="left"/>
      <protection hidden="1"/>
    </xf>
    <xf numFmtId="0" fontId="1" fillId="18" borderId="0" xfId="0" applyFont="1" applyFill="1" applyAlignment="1" applyProtection="1">
      <alignment horizontal="right"/>
      <protection hidden="1"/>
    </xf>
    <xf numFmtId="0" fontId="13" fillId="18" borderId="0" xfId="0" applyFont="1" applyFill="1" applyProtection="1">
      <protection hidden="1"/>
    </xf>
    <xf numFmtId="0" fontId="0" fillId="18" borderId="0" xfId="0" applyFill="1" applyAlignment="1" applyProtection="1">
      <alignment horizontal="left" vertical="center" indent="1"/>
      <protection hidden="1"/>
    </xf>
    <xf numFmtId="0" fontId="0" fillId="18" borderId="0" xfId="0" applyFill="1" applyAlignment="1" applyProtection="1">
      <alignment horizontal="left" indent="1"/>
      <protection hidden="1"/>
    </xf>
    <xf numFmtId="38" fontId="51" fillId="18" borderId="0" xfId="0" applyNumberFormat="1" applyFont="1" applyFill="1" applyProtection="1">
      <protection hidden="1"/>
    </xf>
    <xf numFmtId="38" fontId="9" fillId="18" borderId="0" xfId="4" applyNumberFormat="1" applyFont="1" applyFill="1" applyAlignment="1" applyProtection="1">
      <alignment vertical="center"/>
      <protection hidden="1"/>
    </xf>
    <xf numFmtId="38" fontId="104" fillId="18" borderId="0" xfId="5" applyNumberFormat="1" applyFont="1" applyFill="1" applyAlignment="1" applyProtection="1">
      <alignment vertical="center"/>
      <protection hidden="1"/>
    </xf>
    <xf numFmtId="38" fontId="104" fillId="18" borderId="0" xfId="5" applyNumberFormat="1" applyFont="1" applyFill="1" applyAlignment="1" applyProtection="1">
      <alignment horizontal="left" vertical="center"/>
      <protection hidden="1"/>
    </xf>
    <xf numFmtId="0" fontId="117" fillId="18" borderId="0" xfId="0" applyFont="1" applyFill="1" applyAlignment="1" applyProtection="1">
      <alignment horizontal="center" vertical="center"/>
      <protection hidden="1"/>
    </xf>
    <xf numFmtId="0" fontId="119" fillId="18" borderId="0" xfId="0" applyFont="1" applyFill="1" applyAlignment="1" applyProtection="1">
      <alignment horizontal="center" vertical="center"/>
      <protection hidden="1"/>
    </xf>
    <xf numFmtId="0" fontId="120" fillId="18" borderId="0" xfId="0" applyFont="1" applyFill="1" applyAlignment="1" applyProtection="1">
      <alignment horizontal="center" vertical="center"/>
      <protection hidden="1"/>
    </xf>
    <xf numFmtId="0" fontId="104" fillId="18" borderId="0" xfId="0" applyFont="1" applyFill="1" applyAlignment="1" applyProtection="1">
      <alignment horizontal="center" vertical="center"/>
      <protection hidden="1"/>
    </xf>
    <xf numFmtId="0" fontId="15" fillId="18" borderId="0" xfId="0" applyFont="1" applyFill="1" applyAlignment="1" applyProtection="1">
      <alignment horizontal="left" vertical="center"/>
      <protection hidden="1"/>
    </xf>
    <xf numFmtId="172" fontId="9" fillId="18" borderId="0" xfId="4" applyNumberFormat="1" applyFont="1" applyFill="1" applyAlignment="1" applyProtection="1">
      <alignment horizontal="left" indent="1"/>
      <protection hidden="1"/>
    </xf>
    <xf numFmtId="170" fontId="9" fillId="18" borderId="0" xfId="1" applyNumberFormat="1" applyFont="1" applyFill="1" applyAlignment="1" applyProtection="1">
      <alignment horizontal="right" indent="1"/>
      <protection hidden="1"/>
    </xf>
    <xf numFmtId="170" fontId="9" fillId="18" borderId="0" xfId="1" applyNumberFormat="1" applyFont="1" applyFill="1" applyAlignment="1" applyProtection="1">
      <alignment horizontal="right"/>
      <protection hidden="1"/>
    </xf>
    <xf numFmtId="172" fontId="54" fillId="18" borderId="0" xfId="1" applyNumberFormat="1" applyFont="1" applyFill="1" applyAlignment="1" applyProtection="1">
      <alignment horizontal="left"/>
      <protection hidden="1"/>
    </xf>
    <xf numFmtId="3" fontId="9" fillId="18" borderId="0" xfId="0" applyNumberFormat="1" applyFont="1" applyFill="1" applyAlignment="1" applyProtection="1">
      <alignment horizontal="left" indent="2"/>
      <protection hidden="1"/>
    </xf>
    <xf numFmtId="167" fontId="66" fillId="18" borderId="0" xfId="1" applyNumberFormat="1" applyFont="1" applyFill="1" applyAlignment="1" applyProtection="1">
      <alignment horizontal="left"/>
      <protection hidden="1"/>
    </xf>
    <xf numFmtId="172" fontId="9" fillId="18" borderId="0" xfId="1" applyNumberFormat="1" applyFont="1" applyFill="1" applyAlignment="1" applyProtection="1">
      <alignment horizontal="right" indent="1"/>
      <protection hidden="1"/>
    </xf>
    <xf numFmtId="167" fontId="62" fillId="18" borderId="0" xfId="1" applyNumberFormat="1" applyFont="1" applyFill="1" applyAlignment="1" applyProtection="1">
      <alignment horizontal="left"/>
      <protection hidden="1"/>
    </xf>
    <xf numFmtId="38" fontId="9" fillId="18" borderId="0" xfId="1" applyNumberFormat="1" applyFont="1" applyFill="1" applyAlignment="1" applyProtection="1">
      <alignment horizontal="right" indent="1"/>
      <protection hidden="1"/>
    </xf>
    <xf numFmtId="38" fontId="13" fillId="18" borderId="0" xfId="0" applyNumberFormat="1" applyFont="1" applyFill="1" applyAlignment="1" applyProtection="1">
      <alignment horizontal="right" indent="1"/>
      <protection hidden="1"/>
    </xf>
    <xf numFmtId="38" fontId="13" fillId="18" borderId="0" xfId="1" applyNumberFormat="1" applyFont="1" applyFill="1" applyAlignment="1" applyProtection="1">
      <alignment horizontal="right" vertical="center" indent="1"/>
      <protection hidden="1"/>
    </xf>
    <xf numFmtId="170" fontId="9" fillId="18" borderId="0" xfId="4" applyNumberFormat="1" applyFont="1" applyFill="1" applyAlignment="1" applyProtection="1">
      <alignment horizontal="left" vertical="top" indent="1"/>
      <protection hidden="1"/>
    </xf>
    <xf numFmtId="170" fontId="9" fillId="18" borderId="0" xfId="1" applyNumberFormat="1" applyFont="1" applyFill="1" applyAlignment="1" applyProtection="1">
      <alignment horizontal="right" vertical="top" indent="1"/>
      <protection hidden="1"/>
    </xf>
    <xf numFmtId="172" fontId="54" fillId="18" borderId="0" xfId="1" applyNumberFormat="1" applyFont="1" applyFill="1" applyAlignment="1" applyProtection="1">
      <alignment horizontal="right"/>
      <protection hidden="1"/>
    </xf>
    <xf numFmtId="3" fontId="9" fillId="18" borderId="0" xfId="4" applyNumberFormat="1" applyFont="1" applyFill="1" applyAlignment="1" applyProtection="1">
      <alignment horizontal="left" indent="2"/>
      <protection hidden="1"/>
    </xf>
    <xf numFmtId="172" fontId="9" fillId="18" borderId="0" xfId="0" applyNumberFormat="1" applyFont="1" applyFill="1" applyAlignment="1" applyProtection="1">
      <alignment horizontal="right" indent="1"/>
      <protection hidden="1"/>
    </xf>
    <xf numFmtId="172" fontId="9" fillId="18" borderId="0" xfId="1" applyNumberFormat="1" applyFont="1" applyFill="1" applyAlignment="1" applyProtection="1">
      <alignment horizontal="left" indent="2"/>
      <protection hidden="1"/>
    </xf>
    <xf numFmtId="172" fontId="9" fillId="18" borderId="0" xfId="4" applyNumberFormat="1" applyFont="1" applyFill="1" applyAlignment="1" applyProtection="1">
      <alignment horizontal="right" indent="1"/>
      <protection hidden="1"/>
    </xf>
    <xf numFmtId="172" fontId="9" fillId="18" borderId="12" xfId="1" applyNumberFormat="1" applyFont="1" applyFill="1" applyBorder="1" applyAlignment="1" applyProtection="1">
      <alignment horizontal="left" indent="2"/>
      <protection hidden="1"/>
    </xf>
    <xf numFmtId="170" fontId="9" fillId="18" borderId="12" xfId="1" applyNumberFormat="1" applyFont="1" applyFill="1" applyBorder="1" applyAlignment="1" applyProtection="1">
      <alignment horizontal="right" indent="1"/>
      <protection hidden="1"/>
    </xf>
    <xf numFmtId="170" fontId="9" fillId="18" borderId="12" xfId="1" applyNumberFormat="1" applyFont="1" applyFill="1" applyBorder="1" applyAlignment="1" applyProtection="1">
      <alignment horizontal="left" indent="2"/>
      <protection hidden="1"/>
    </xf>
    <xf numFmtId="38" fontId="9" fillId="18" borderId="0" xfId="4" applyNumberFormat="1" applyFont="1" applyFill="1" applyAlignment="1" applyProtection="1">
      <alignment horizontal="left" indent="1"/>
      <protection hidden="1"/>
    </xf>
    <xf numFmtId="170" fontId="9" fillId="18" borderId="0" xfId="4" applyNumberFormat="1" applyFont="1" applyFill="1" applyAlignment="1" applyProtection="1">
      <alignment horizontal="right" indent="1"/>
      <protection hidden="1"/>
    </xf>
    <xf numFmtId="38" fontId="9" fillId="18" borderId="0" xfId="4" applyNumberFormat="1" applyFont="1" applyFill="1" applyAlignment="1" applyProtection="1">
      <alignment horizontal="left" indent="2"/>
      <protection hidden="1"/>
    </xf>
    <xf numFmtId="38" fontId="18" fillId="18" borderId="0" xfId="1" applyNumberFormat="1" applyFont="1" applyFill="1" applyProtection="1">
      <protection hidden="1"/>
    </xf>
    <xf numFmtId="172" fontId="63" fillId="18" borderId="0" xfId="1" applyNumberFormat="1" applyFont="1" applyFill="1" applyAlignment="1" applyProtection="1">
      <alignment horizontal="left"/>
      <protection hidden="1"/>
    </xf>
    <xf numFmtId="170" fontId="9" fillId="18" borderId="0" xfId="1" applyNumberFormat="1" applyFont="1" applyFill="1" applyAlignment="1" applyProtection="1">
      <alignment horizontal="left" indent="2"/>
      <protection hidden="1"/>
    </xf>
    <xf numFmtId="172" fontId="9" fillId="18" borderId="12" xfId="4" applyNumberFormat="1" applyFont="1" applyFill="1" applyBorder="1" applyAlignment="1" applyProtection="1">
      <alignment horizontal="left" indent="2"/>
      <protection hidden="1"/>
    </xf>
    <xf numFmtId="38" fontId="9" fillId="18" borderId="12" xfId="4" applyNumberFormat="1" applyFont="1" applyFill="1" applyBorder="1" applyAlignment="1" applyProtection="1">
      <alignment horizontal="left" indent="1"/>
      <protection hidden="1"/>
    </xf>
    <xf numFmtId="170" fontId="9" fillId="18" borderId="12" xfId="4" applyNumberFormat="1" applyFont="1" applyFill="1" applyBorder="1" applyAlignment="1" applyProtection="1">
      <alignment horizontal="right" indent="1"/>
      <protection hidden="1"/>
    </xf>
    <xf numFmtId="38" fontId="9" fillId="18" borderId="12" xfId="4" applyNumberFormat="1" applyFont="1" applyFill="1" applyBorder="1" applyAlignment="1" applyProtection="1">
      <alignment horizontal="left" indent="2"/>
      <protection hidden="1"/>
    </xf>
    <xf numFmtId="172" fontId="9" fillId="18" borderId="12" xfId="4" applyNumberFormat="1" applyFont="1" applyFill="1" applyBorder="1" applyAlignment="1" applyProtection="1">
      <alignment horizontal="left" indent="1"/>
      <protection hidden="1"/>
    </xf>
    <xf numFmtId="170" fontId="9" fillId="18" borderId="12" xfId="1" applyNumberFormat="1" applyFont="1" applyFill="1" applyBorder="1" applyAlignment="1" applyProtection="1">
      <alignment horizontal="right"/>
      <protection hidden="1"/>
    </xf>
    <xf numFmtId="170" fontId="9" fillId="18" borderId="0" xfId="4" applyNumberFormat="1" applyFont="1" applyFill="1" applyAlignment="1" applyProtection="1">
      <alignment horizontal="left" indent="1"/>
      <protection hidden="1"/>
    </xf>
    <xf numFmtId="38" fontId="25" fillId="18" borderId="0" xfId="1" quotePrefix="1" applyNumberFormat="1" applyFont="1" applyFill="1" applyProtection="1">
      <protection hidden="1"/>
    </xf>
    <xf numFmtId="172" fontId="63" fillId="18" borderId="0" xfId="1" applyNumberFormat="1" applyFont="1" applyFill="1" applyProtection="1">
      <protection hidden="1"/>
    </xf>
    <xf numFmtId="170" fontId="9" fillId="18" borderId="0" xfId="1" applyNumberFormat="1" applyFont="1" applyFill="1" applyAlignment="1" applyProtection="1">
      <alignment horizontal="left" indent="1"/>
      <protection hidden="1"/>
    </xf>
    <xf numFmtId="172" fontId="9" fillId="18" borderId="0" xfId="1" applyNumberFormat="1" applyFont="1" applyFill="1" applyAlignment="1" applyProtection="1">
      <alignment horizontal="right"/>
      <protection hidden="1"/>
    </xf>
    <xf numFmtId="172" fontId="55" fillId="18" borderId="0" xfId="1" applyNumberFormat="1" applyFont="1" applyFill="1" applyAlignment="1" applyProtection="1">
      <alignment horizontal="right"/>
      <protection hidden="1"/>
    </xf>
    <xf numFmtId="38" fontId="56" fillId="18" borderId="0" xfId="1" applyNumberFormat="1" applyFont="1" applyFill="1" applyAlignment="1" applyProtection="1">
      <alignment horizontal="center" vertical="top"/>
      <protection hidden="1"/>
    </xf>
    <xf numFmtId="38" fontId="31" fillId="18" borderId="0" xfId="1" applyNumberFormat="1" applyFont="1" applyFill="1" applyProtection="1">
      <protection hidden="1"/>
    </xf>
    <xf numFmtId="38" fontId="25" fillId="18" borderId="0" xfId="1" applyNumberFormat="1" applyFont="1" applyFill="1" applyAlignment="1" applyProtection="1">
      <alignment horizontal="center"/>
      <protection hidden="1"/>
    </xf>
    <xf numFmtId="0" fontId="43" fillId="18" borderId="0" xfId="5" applyFont="1" applyFill="1" applyAlignment="1" applyProtection="1">
      <alignment horizontal="right" indent="1"/>
      <protection hidden="1"/>
    </xf>
    <xf numFmtId="38" fontId="42" fillId="18" borderId="0" xfId="1" applyNumberFormat="1" applyFont="1" applyFill="1" applyAlignment="1" applyProtection="1">
      <alignment horizontal="right" indent="1"/>
      <protection hidden="1"/>
    </xf>
    <xf numFmtId="38" fontId="48" fillId="18" borderId="0" xfId="1" applyNumberFormat="1" applyFont="1" applyFill="1" applyAlignment="1" applyProtection="1">
      <alignment horizontal="left"/>
      <protection hidden="1"/>
    </xf>
    <xf numFmtId="38" fontId="45" fillId="18" borderId="0" xfId="1" applyNumberFormat="1" applyFont="1" applyFill="1" applyAlignment="1" applyProtection="1">
      <alignment horizontal="left"/>
      <protection hidden="1"/>
    </xf>
    <xf numFmtId="38" fontId="26" fillId="18" borderId="0" xfId="4" applyNumberFormat="1" applyFont="1" applyFill="1" applyAlignment="1" applyProtection="1">
      <alignment horizontal="right" indent="1"/>
      <protection hidden="1"/>
    </xf>
    <xf numFmtId="38" fontId="26" fillId="18" borderId="0" xfId="1" applyNumberFormat="1" applyFont="1" applyFill="1" applyAlignment="1" applyProtection="1">
      <alignment horizontal="right" indent="1"/>
      <protection hidden="1"/>
    </xf>
    <xf numFmtId="38" fontId="9" fillId="18" borderId="0" xfId="4" applyNumberFormat="1" applyFont="1" applyFill="1" applyAlignment="1" applyProtection="1">
      <alignment horizontal="right" indent="1"/>
      <protection hidden="1"/>
    </xf>
    <xf numFmtId="38" fontId="11" fillId="18" borderId="0" xfId="4" applyNumberFormat="1" applyFont="1" applyFill="1" applyAlignment="1" applyProtection="1">
      <alignment horizontal="right" indent="1"/>
      <protection hidden="1"/>
    </xf>
    <xf numFmtId="38" fontId="100" fillId="18" borderId="0" xfId="4" applyNumberFormat="1" applyFont="1" applyFill="1" applyAlignment="1" applyProtection="1">
      <alignment vertical="top"/>
      <protection hidden="1"/>
    </xf>
    <xf numFmtId="38" fontId="100" fillId="18" borderId="0" xfId="4" applyNumberFormat="1" applyFont="1" applyFill="1" applyAlignment="1" applyProtection="1">
      <alignment vertical="center"/>
      <protection hidden="1"/>
    </xf>
    <xf numFmtId="38" fontId="41" fillId="18" borderId="0" xfId="1" applyNumberFormat="1" applyFont="1" applyFill="1" applyProtection="1">
      <protection hidden="1"/>
    </xf>
    <xf numFmtId="38" fontId="11" fillId="18" borderId="0" xfId="4" applyNumberFormat="1" applyFont="1" applyFill="1" applyAlignment="1" applyProtection="1">
      <alignment horizontal="center" vertical="center"/>
      <protection hidden="1"/>
    </xf>
    <xf numFmtId="38" fontId="11" fillId="18" borderId="0" xfId="1" applyNumberFormat="1" applyFont="1" applyFill="1" applyAlignment="1" applyProtection="1">
      <alignment vertical="center"/>
      <protection hidden="1"/>
    </xf>
    <xf numFmtId="38" fontId="11" fillId="18" borderId="0" xfId="4" applyNumberFormat="1" applyFont="1" applyFill="1" applyAlignment="1" applyProtection="1">
      <alignment horizontal="right" vertical="center" indent="1"/>
      <protection hidden="1"/>
    </xf>
    <xf numFmtId="38" fontId="11" fillId="18" borderId="0" xfId="4" applyNumberFormat="1" applyFont="1" applyFill="1" applyAlignment="1" applyProtection="1">
      <alignment horizontal="left" vertical="center"/>
      <protection hidden="1"/>
    </xf>
    <xf numFmtId="38" fontId="11" fillId="18" borderId="0" xfId="4" applyNumberFormat="1" applyFont="1" applyFill="1" applyAlignment="1" applyProtection="1">
      <alignment vertical="center"/>
      <protection hidden="1"/>
    </xf>
    <xf numFmtId="38" fontId="44" fillId="18" borderId="0" xfId="0" applyNumberFormat="1" applyFont="1" applyFill="1" applyAlignment="1" applyProtection="1">
      <alignment horizontal="right" indent="1"/>
      <protection hidden="1"/>
    </xf>
    <xf numFmtId="38" fontId="46" fillId="18" borderId="0" xfId="5" applyNumberFormat="1" applyFont="1" applyFill="1" applyProtection="1">
      <protection hidden="1"/>
    </xf>
    <xf numFmtId="38" fontId="45" fillId="18" borderId="0" xfId="5" applyNumberFormat="1" applyFont="1" applyFill="1" applyAlignment="1" applyProtection="1">
      <alignment horizontal="right" indent="1"/>
      <protection hidden="1"/>
    </xf>
    <xf numFmtId="38" fontId="42" fillId="18" borderId="0" xfId="5" applyNumberFormat="1" applyFont="1" applyFill="1" applyAlignment="1" applyProtection="1">
      <alignment horizontal="left" indent="1"/>
      <protection hidden="1"/>
    </xf>
    <xf numFmtId="38" fontId="42" fillId="18" borderId="0" xfId="5" applyNumberFormat="1" applyFont="1" applyFill="1" applyAlignment="1" applyProtection="1">
      <alignment horizontal="right" indent="1"/>
      <protection hidden="1"/>
    </xf>
    <xf numFmtId="169" fontId="49" fillId="18" borderId="0" xfId="0" quotePrefix="1" applyNumberFormat="1" applyFont="1" applyFill="1" applyAlignment="1" applyProtection="1">
      <alignment horizontal="center" vertical="center"/>
      <protection hidden="1"/>
    </xf>
    <xf numFmtId="38" fontId="13" fillId="18" borderId="0" xfId="5" applyNumberFormat="1" applyFont="1" applyFill="1" applyProtection="1">
      <protection hidden="1"/>
    </xf>
    <xf numFmtId="38" fontId="13" fillId="18" borderId="0" xfId="5" applyNumberFormat="1" applyFont="1" applyFill="1" applyAlignment="1" applyProtection="1">
      <alignment horizontal="right" indent="1"/>
      <protection hidden="1"/>
    </xf>
    <xf numFmtId="38" fontId="103" fillId="18" borderId="0" xfId="5" applyNumberFormat="1" applyFont="1" applyFill="1" applyProtection="1">
      <protection hidden="1"/>
    </xf>
    <xf numFmtId="38" fontId="14" fillId="18" borderId="0" xfId="5" applyNumberFormat="1" applyFont="1" applyFill="1" applyProtection="1">
      <protection hidden="1"/>
    </xf>
    <xf numFmtId="38" fontId="13" fillId="18" borderId="0" xfId="5" applyNumberFormat="1" applyFont="1" applyFill="1" applyAlignment="1" applyProtection="1">
      <alignment horizontal="left" indent="1"/>
      <protection hidden="1"/>
    </xf>
    <xf numFmtId="38" fontId="13" fillId="18" borderId="0" xfId="5" applyNumberFormat="1" applyFont="1" applyFill="1" applyAlignment="1" applyProtection="1">
      <alignment horizontal="center" vertical="top"/>
      <protection hidden="1"/>
    </xf>
    <xf numFmtId="38" fontId="34" fillId="18" borderId="0" xfId="5" applyNumberFormat="1" applyFont="1" applyFill="1" applyProtection="1">
      <protection hidden="1"/>
    </xf>
    <xf numFmtId="169" fontId="9" fillId="18" borderId="0" xfId="0" quotePrefix="1" applyNumberFormat="1" applyFont="1" applyFill="1" applyAlignment="1" applyProtection="1">
      <alignment vertical="center"/>
      <protection hidden="1"/>
    </xf>
    <xf numFmtId="169" fontId="13" fillId="18" borderId="0" xfId="0" quotePrefix="1" applyNumberFormat="1" applyFont="1" applyFill="1" applyAlignment="1" applyProtection="1">
      <alignment horizontal="right" vertical="center" indent="1"/>
      <protection hidden="1"/>
    </xf>
    <xf numFmtId="38" fontId="53" fillId="18" borderId="0" xfId="1" applyNumberFormat="1" applyFont="1" applyFill="1" applyAlignment="1" applyProtection="1">
      <alignment horizontal="center" vertical="top"/>
      <protection hidden="1"/>
    </xf>
    <xf numFmtId="38" fontId="53" fillId="18" borderId="0" xfId="1" applyNumberFormat="1" applyFont="1" applyFill="1" applyAlignment="1" applyProtection="1">
      <alignment horizontal="left" vertical="top"/>
      <protection hidden="1"/>
    </xf>
    <xf numFmtId="169" fontId="11" fillId="18" borderId="0" xfId="5" applyNumberFormat="1" applyFont="1" applyFill="1" applyAlignment="1" applyProtection="1">
      <alignment horizontal="center" vertical="top"/>
      <protection hidden="1"/>
    </xf>
    <xf numFmtId="169" fontId="11" fillId="18" borderId="0" xfId="5" applyNumberFormat="1" applyFont="1" applyFill="1" applyAlignment="1" applyProtection="1">
      <alignment horizontal="right" vertical="top"/>
      <protection hidden="1"/>
    </xf>
    <xf numFmtId="169" fontId="11" fillId="18" borderId="0" xfId="5" applyNumberFormat="1" applyFont="1" applyFill="1" applyAlignment="1" applyProtection="1">
      <alignment horizontal="left" vertical="top"/>
      <protection hidden="1"/>
    </xf>
    <xf numFmtId="38" fontId="41" fillId="18" borderId="0" xfId="5" applyNumberFormat="1" applyFont="1" applyFill="1" applyAlignment="1" applyProtection="1">
      <alignment vertical="top"/>
      <protection hidden="1"/>
    </xf>
    <xf numFmtId="169" fontId="11" fillId="18" borderId="0" xfId="5" applyNumberFormat="1" applyFont="1" applyFill="1" applyAlignment="1" applyProtection="1">
      <alignment vertical="top"/>
      <protection hidden="1"/>
    </xf>
    <xf numFmtId="38" fontId="11" fillId="18" borderId="0" xfId="5" applyNumberFormat="1" applyFont="1" applyFill="1" applyAlignment="1" applyProtection="1">
      <alignment horizontal="left" vertical="top" indent="1"/>
      <protection hidden="1"/>
    </xf>
    <xf numFmtId="38" fontId="98" fillId="18" borderId="0" xfId="1" applyNumberFormat="1" applyFont="1" applyFill="1" applyAlignment="1" applyProtection="1">
      <alignment horizontal="left" vertical="center"/>
      <protection hidden="1"/>
    </xf>
    <xf numFmtId="0" fontId="9" fillId="18" borderId="0" xfId="5" applyFont="1" applyFill="1" applyProtection="1">
      <protection hidden="1"/>
    </xf>
    <xf numFmtId="38" fontId="100" fillId="18" borderId="0" xfId="5" applyNumberFormat="1" applyFont="1" applyFill="1" applyProtection="1">
      <protection hidden="1"/>
    </xf>
    <xf numFmtId="38" fontId="58" fillId="18" borderId="0" xfId="1" applyNumberFormat="1" applyFont="1" applyFill="1" applyAlignment="1" applyProtection="1">
      <alignment horizontal="center"/>
      <protection hidden="1"/>
    </xf>
    <xf numFmtId="38" fontId="58" fillId="18" borderId="0" xfId="5" applyNumberFormat="1" applyFont="1" applyFill="1" applyProtection="1">
      <protection hidden="1"/>
    </xf>
    <xf numFmtId="38" fontId="9" fillId="18" borderId="0" xfId="5" quotePrefix="1" applyNumberFormat="1" applyFont="1" applyFill="1" applyAlignment="1" applyProtection="1">
      <alignment horizontal="left" indent="1"/>
      <protection hidden="1"/>
    </xf>
    <xf numFmtId="38" fontId="13" fillId="18" borderId="0" xfId="5" applyNumberFormat="1" applyFont="1" applyFill="1" applyAlignment="1" applyProtection="1">
      <alignment horizontal="center"/>
      <protection hidden="1"/>
    </xf>
    <xf numFmtId="38" fontId="23" fillId="18" borderId="0" xfId="5" applyNumberFormat="1" applyFont="1" applyFill="1" applyProtection="1">
      <protection hidden="1"/>
    </xf>
    <xf numFmtId="38" fontId="23" fillId="18" borderId="0" xfId="5" applyNumberFormat="1" applyFont="1" applyFill="1" applyAlignment="1" applyProtection="1">
      <alignment horizontal="right" indent="1"/>
      <protection hidden="1"/>
    </xf>
    <xf numFmtId="38" fontId="9" fillId="21" borderId="2" xfId="5" applyNumberFormat="1" applyFont="1" applyFill="1" applyBorder="1" applyAlignment="1" applyProtection="1">
      <alignment horizontal="left"/>
      <protection hidden="1"/>
    </xf>
    <xf numFmtId="38" fontId="9" fillId="21" borderId="9" xfId="5" applyNumberFormat="1" applyFont="1" applyFill="1" applyBorder="1" applyAlignment="1" applyProtection="1">
      <alignment horizontal="left" indent="1"/>
      <protection hidden="1"/>
    </xf>
    <xf numFmtId="167" fontId="9" fillId="21" borderId="6" xfId="5" quotePrefix="1" applyNumberFormat="1" applyFont="1" applyFill="1" applyBorder="1" applyAlignment="1" applyProtection="1">
      <alignment horizontal="left" vertical="center" indent="1"/>
      <protection hidden="1"/>
    </xf>
    <xf numFmtId="167" fontId="9" fillId="21" borderId="3" xfId="5" quotePrefix="1" applyNumberFormat="1" applyFont="1" applyFill="1" applyBorder="1" applyAlignment="1" applyProtection="1">
      <alignment horizontal="left" vertical="center" indent="1"/>
      <protection hidden="1"/>
    </xf>
    <xf numFmtId="169" fontId="13" fillId="18" borderId="0" xfId="0" quotePrefix="1" applyNumberFormat="1" applyFont="1" applyFill="1" applyAlignment="1" applyProtection="1">
      <alignment vertical="center"/>
      <protection hidden="1"/>
    </xf>
    <xf numFmtId="169" fontId="11" fillId="18" borderId="0" xfId="5" applyNumberFormat="1" applyFont="1" applyFill="1" applyAlignment="1" applyProtection="1">
      <alignment horizontal="center"/>
      <protection hidden="1"/>
    </xf>
    <xf numFmtId="169" fontId="11" fillId="18" borderId="0" xfId="5" applyNumberFormat="1" applyFont="1" applyFill="1" applyAlignment="1" applyProtection="1">
      <alignment horizontal="right"/>
      <protection hidden="1"/>
    </xf>
    <xf numFmtId="169" fontId="11" fillId="18" borderId="0" xfId="5" applyNumberFormat="1" applyFont="1" applyFill="1" applyAlignment="1" applyProtection="1">
      <alignment horizontal="left" indent="1"/>
      <protection hidden="1"/>
    </xf>
    <xf numFmtId="38" fontId="41" fillId="18" borderId="0" xfId="5" applyNumberFormat="1" applyFont="1" applyFill="1" applyProtection="1">
      <protection hidden="1"/>
    </xf>
    <xf numFmtId="38" fontId="98" fillId="18" borderId="0" xfId="1" applyNumberFormat="1" applyFont="1" applyFill="1" applyAlignment="1" applyProtection="1">
      <alignment horizontal="left"/>
      <protection hidden="1"/>
    </xf>
    <xf numFmtId="38" fontId="9" fillId="18" borderId="0" xfId="5" quotePrefix="1" applyNumberFormat="1" applyFont="1" applyFill="1" applyProtection="1">
      <protection hidden="1"/>
    </xf>
    <xf numFmtId="38" fontId="9" fillId="21" borderId="0" xfId="5" applyNumberFormat="1" applyFont="1" applyFill="1" applyProtection="1">
      <protection hidden="1"/>
    </xf>
    <xf numFmtId="169" fontId="9" fillId="21" borderId="6" xfId="0" quotePrefix="1" applyNumberFormat="1" applyFont="1" applyFill="1" applyBorder="1" applyAlignment="1" applyProtection="1">
      <alignment horizontal="left" vertical="center" indent="1"/>
      <protection hidden="1"/>
    </xf>
    <xf numFmtId="169" fontId="9" fillId="21" borderId="19" xfId="0" quotePrefix="1" applyNumberFormat="1" applyFont="1" applyFill="1" applyBorder="1" applyAlignment="1" applyProtection="1">
      <alignment horizontal="left" vertical="center" indent="1"/>
      <protection hidden="1"/>
    </xf>
    <xf numFmtId="38" fontId="43" fillId="18" borderId="0" xfId="5" applyNumberFormat="1" applyFont="1" applyFill="1" applyAlignment="1" applyProtection="1">
      <alignment horizontal="right" indent="1"/>
      <protection hidden="1"/>
    </xf>
    <xf numFmtId="169" fontId="47" fillId="18" borderId="0" xfId="0" quotePrefix="1" applyNumberFormat="1" applyFont="1" applyFill="1" applyAlignment="1" applyProtection="1">
      <alignment horizontal="center" vertical="center"/>
      <protection hidden="1"/>
    </xf>
    <xf numFmtId="38" fontId="13" fillId="18" borderId="0" xfId="4" applyNumberFormat="1" applyFont="1" applyFill="1" applyAlignment="1" applyProtection="1">
      <alignment horizontal="right" indent="2"/>
      <protection hidden="1"/>
    </xf>
    <xf numFmtId="169" fontId="13" fillId="18" borderId="0" xfId="5" applyNumberFormat="1" applyFont="1" applyFill="1" applyAlignment="1" applyProtection="1">
      <alignment horizontal="center"/>
      <protection hidden="1"/>
    </xf>
    <xf numFmtId="169" fontId="14" fillId="18" borderId="0" xfId="0" quotePrefix="1" applyNumberFormat="1" applyFont="1" applyFill="1" applyProtection="1">
      <protection hidden="1"/>
    </xf>
    <xf numFmtId="38" fontId="14" fillId="18" borderId="0" xfId="5" applyNumberFormat="1" applyFont="1" applyFill="1" applyAlignment="1" applyProtection="1">
      <alignment horizontal="left"/>
      <protection hidden="1"/>
    </xf>
    <xf numFmtId="38" fontId="14" fillId="18" borderId="0" xfId="5" applyNumberFormat="1" applyFont="1" applyFill="1" applyAlignment="1" applyProtection="1">
      <alignment horizontal="center"/>
      <protection hidden="1"/>
    </xf>
    <xf numFmtId="38" fontId="9" fillId="18" borderId="0" xfId="5" applyNumberFormat="1" applyFont="1" applyFill="1" applyAlignment="1" applyProtection="1">
      <alignment horizontal="left" vertical="center"/>
      <protection hidden="1"/>
    </xf>
    <xf numFmtId="38" fontId="9" fillId="18" borderId="0" xfId="5" applyNumberFormat="1" applyFont="1" applyFill="1" applyAlignment="1" applyProtection="1">
      <alignment horizontal="right" indent="1"/>
      <protection hidden="1"/>
    </xf>
    <xf numFmtId="38" fontId="11" fillId="18" borderId="0" xfId="1" applyNumberFormat="1" applyFont="1" applyFill="1" applyAlignment="1" applyProtection="1">
      <alignment horizontal="center" vertical="center"/>
      <protection hidden="1"/>
    </xf>
    <xf numFmtId="38" fontId="41" fillId="18" borderId="0" xfId="5" applyNumberFormat="1" applyFont="1" applyFill="1" applyAlignment="1" applyProtection="1">
      <alignment vertical="center"/>
      <protection hidden="1"/>
    </xf>
    <xf numFmtId="169" fontId="11" fillId="18" borderId="0" xfId="5" applyNumberFormat="1" applyFont="1" applyFill="1" applyAlignment="1" applyProtection="1">
      <alignment horizontal="center" vertical="center"/>
      <protection hidden="1"/>
    </xf>
    <xf numFmtId="169" fontId="11" fillId="18" borderId="0" xfId="5" applyNumberFormat="1" applyFont="1" applyFill="1" applyAlignment="1" applyProtection="1">
      <alignment horizontal="left" vertical="center"/>
      <protection hidden="1"/>
    </xf>
    <xf numFmtId="169" fontId="11" fillId="18" borderId="0" xfId="5" applyNumberFormat="1" applyFont="1" applyFill="1" applyAlignment="1" applyProtection="1">
      <alignment horizontal="right" vertical="center" indent="1"/>
      <protection hidden="1"/>
    </xf>
    <xf numFmtId="38" fontId="76" fillId="18" borderId="0" xfId="5" applyNumberFormat="1" applyFont="1" applyFill="1" applyAlignment="1" applyProtection="1">
      <alignment vertical="center"/>
      <protection hidden="1"/>
    </xf>
    <xf numFmtId="38" fontId="31" fillId="18" borderId="0" xfId="5" applyNumberFormat="1" applyFont="1" applyFill="1" applyProtection="1">
      <protection hidden="1"/>
    </xf>
    <xf numFmtId="167" fontId="9" fillId="21" borderId="9" xfId="0" quotePrefix="1" applyNumberFormat="1" applyFont="1" applyFill="1" applyBorder="1" applyAlignment="1" applyProtection="1">
      <alignment horizontal="left" indent="1"/>
      <protection hidden="1"/>
    </xf>
    <xf numFmtId="167" fontId="9" fillId="21" borderId="16" xfId="0" quotePrefix="1" applyNumberFormat="1" applyFont="1" applyFill="1" applyBorder="1" applyAlignment="1" applyProtection="1">
      <alignment horizontal="left" indent="1"/>
      <protection hidden="1"/>
    </xf>
    <xf numFmtId="38" fontId="44" fillId="18" borderId="0" xfId="0" applyNumberFormat="1" applyFont="1" applyFill="1" applyAlignment="1" applyProtection="1">
      <alignment horizontal="left" indent="1"/>
      <protection hidden="1"/>
    </xf>
    <xf numFmtId="0" fontId="43" fillId="18" borderId="0" xfId="10" applyFont="1" applyFill="1" applyAlignment="1" applyProtection="1">
      <alignment horizontal="center"/>
      <protection hidden="1"/>
    </xf>
    <xf numFmtId="165" fontId="45" fillId="18" borderId="0" xfId="0" applyNumberFormat="1" applyFont="1" applyFill="1" applyAlignment="1" applyProtection="1">
      <alignment horizontal="left" indent="1"/>
      <protection hidden="1"/>
    </xf>
    <xf numFmtId="165" fontId="45" fillId="18" borderId="0" xfId="0" applyNumberFormat="1" applyFont="1" applyFill="1" applyAlignment="1" applyProtection="1">
      <alignment horizontal="center"/>
      <protection hidden="1"/>
    </xf>
    <xf numFmtId="38" fontId="13" fillId="18" borderId="0" xfId="4" applyNumberFormat="1" applyFont="1" applyFill="1" applyAlignment="1" applyProtection="1">
      <alignment horizontal="center"/>
      <protection hidden="1"/>
    </xf>
    <xf numFmtId="38" fontId="0" fillId="18" borderId="0" xfId="0" applyNumberFormat="1" applyFill="1" applyAlignment="1" applyProtection="1">
      <alignment horizontal="center"/>
      <protection hidden="1"/>
    </xf>
    <xf numFmtId="38" fontId="14" fillId="18" borderId="0" xfId="4" applyNumberFormat="1" applyFont="1" applyFill="1" applyAlignment="1" applyProtection="1">
      <alignment horizontal="left"/>
      <protection hidden="1"/>
    </xf>
    <xf numFmtId="167" fontId="101" fillId="18" borderId="0" xfId="12" applyNumberFormat="1" applyFont="1" applyFill="1" applyAlignment="1" applyProtection="1">
      <alignment horizontal="center" vertical="top"/>
      <protection hidden="1"/>
    </xf>
    <xf numFmtId="167" fontId="101" fillId="18" borderId="0" xfId="12" applyNumberFormat="1" applyFont="1" applyFill="1" applyAlignment="1" applyProtection="1">
      <alignment vertical="top"/>
      <protection hidden="1"/>
    </xf>
    <xf numFmtId="38" fontId="100" fillId="18" borderId="0" xfId="0" applyNumberFormat="1" applyFont="1" applyFill="1" applyAlignment="1" applyProtection="1">
      <alignment horizontal="left" vertical="top"/>
      <protection hidden="1"/>
    </xf>
    <xf numFmtId="167" fontId="101" fillId="18" borderId="0" xfId="12" applyNumberFormat="1" applyFont="1" applyFill="1" applyAlignment="1" applyProtection="1">
      <alignment horizontal="left" vertical="top"/>
      <protection hidden="1"/>
    </xf>
    <xf numFmtId="38" fontId="103" fillId="18" borderId="0" xfId="0" applyNumberFormat="1" applyFont="1" applyFill="1" applyAlignment="1" applyProtection="1">
      <alignment horizontal="left" vertical="top"/>
      <protection hidden="1"/>
    </xf>
    <xf numFmtId="167" fontId="100" fillId="18" borderId="0" xfId="12" applyNumberFormat="1" applyFont="1" applyFill="1" applyAlignment="1" applyProtection="1">
      <alignment vertical="top"/>
      <protection hidden="1"/>
    </xf>
    <xf numFmtId="164" fontId="100" fillId="18" borderId="0" xfId="13" applyNumberFormat="1" applyFont="1" applyFill="1" applyBorder="1" applyAlignment="1" applyProtection="1">
      <alignment horizontal="left" vertical="top"/>
      <protection hidden="1"/>
    </xf>
    <xf numFmtId="167" fontId="71" fillId="18" borderId="0" xfId="12" applyNumberFormat="1" applyFont="1" applyFill="1" applyAlignment="1" applyProtection="1">
      <alignment horizontal="center"/>
      <protection hidden="1"/>
    </xf>
    <xf numFmtId="167" fontId="71" fillId="18" borderId="0" xfId="12" applyNumberFormat="1" applyFont="1" applyFill="1" applyProtection="1">
      <protection hidden="1"/>
    </xf>
    <xf numFmtId="167" fontId="11" fillId="18" borderId="0" xfId="12" applyNumberFormat="1" applyFont="1" applyFill="1" applyProtection="1">
      <protection hidden="1"/>
    </xf>
    <xf numFmtId="167" fontId="11" fillId="18" borderId="0" xfId="12" applyNumberFormat="1" applyFont="1" applyFill="1" applyAlignment="1" applyProtection="1">
      <alignment horizontal="left" indent="1"/>
      <protection hidden="1"/>
    </xf>
    <xf numFmtId="167" fontId="11" fillId="18" borderId="0" xfId="12" applyNumberFormat="1" applyFont="1" applyFill="1" applyAlignment="1" applyProtection="1">
      <alignment horizontal="left"/>
      <protection hidden="1"/>
    </xf>
    <xf numFmtId="167" fontId="69" fillId="18" borderId="0" xfId="12" applyNumberFormat="1" applyFont="1" applyFill="1" applyProtection="1">
      <protection hidden="1"/>
    </xf>
    <xf numFmtId="167" fontId="9" fillId="18" borderId="0" xfId="12" applyNumberFormat="1" applyFont="1" applyFill="1" applyProtection="1">
      <protection hidden="1"/>
    </xf>
    <xf numFmtId="167" fontId="9" fillId="18" borderId="0" xfId="12" applyNumberFormat="1" applyFont="1" applyFill="1" applyAlignment="1" applyProtection="1">
      <alignment horizontal="center"/>
      <protection hidden="1"/>
    </xf>
    <xf numFmtId="167" fontId="11" fillId="18" borderId="0" xfId="12" applyNumberFormat="1" applyFont="1" applyFill="1" applyAlignment="1" applyProtection="1">
      <alignment horizontal="left" vertical="center"/>
      <protection hidden="1"/>
    </xf>
    <xf numFmtId="0" fontId="9" fillId="18" borderId="0" xfId="10" applyFont="1" applyFill="1" applyAlignment="1" applyProtection="1">
      <alignment horizontal="left" indent="1"/>
      <protection hidden="1"/>
    </xf>
    <xf numFmtId="0" fontId="9" fillId="18" borderId="0" xfId="10" applyFont="1" applyFill="1" applyProtection="1">
      <protection hidden="1"/>
    </xf>
    <xf numFmtId="0" fontId="9" fillId="18" borderId="0" xfId="10" applyFont="1" applyFill="1" applyAlignment="1" applyProtection="1">
      <alignment horizontal="left" indent="2"/>
      <protection hidden="1"/>
    </xf>
    <xf numFmtId="0" fontId="9" fillId="18" borderId="0" xfId="10" applyFont="1" applyFill="1" applyAlignment="1" applyProtection="1">
      <alignment horizontal="left" indent="3"/>
      <protection hidden="1"/>
    </xf>
    <xf numFmtId="167" fontId="13" fillId="18" borderId="0" xfId="12" applyNumberFormat="1" applyFont="1" applyFill="1" applyAlignment="1" applyProtection="1">
      <alignment horizontal="center"/>
      <protection hidden="1"/>
    </xf>
    <xf numFmtId="167" fontId="13" fillId="18" borderId="0" xfId="12" applyNumberFormat="1" applyFont="1" applyFill="1" applyAlignment="1" applyProtection="1">
      <alignment horizontal="center" vertical="center"/>
      <protection hidden="1"/>
    </xf>
    <xf numFmtId="167" fontId="13" fillId="18" borderId="0" xfId="12" applyNumberFormat="1" applyFont="1" applyFill="1" applyAlignment="1" applyProtection="1">
      <alignment vertical="center"/>
      <protection hidden="1"/>
    </xf>
    <xf numFmtId="167" fontId="13" fillId="18" borderId="0" xfId="12" applyNumberFormat="1" applyFont="1" applyFill="1" applyAlignment="1" applyProtection="1">
      <alignment horizontal="left"/>
      <protection hidden="1"/>
    </xf>
    <xf numFmtId="0" fontId="9" fillId="18" borderId="0" xfId="10" applyFont="1" applyFill="1" applyAlignment="1" applyProtection="1">
      <alignment horizontal="left" indent="4"/>
      <protection hidden="1"/>
    </xf>
    <xf numFmtId="167" fontId="9" fillId="18" borderId="0" xfId="12" applyNumberFormat="1" applyFont="1" applyFill="1" applyAlignment="1" applyProtection="1">
      <alignment vertical="center"/>
      <protection hidden="1"/>
    </xf>
    <xf numFmtId="167" fontId="13" fillId="18" borderId="0" xfId="12" applyNumberFormat="1" applyFont="1" applyFill="1" applyProtection="1">
      <protection hidden="1"/>
    </xf>
    <xf numFmtId="167" fontId="14" fillId="18" borderId="0" xfId="12" applyNumberFormat="1" applyFont="1" applyFill="1" applyAlignment="1" applyProtection="1">
      <alignment horizontal="left"/>
      <protection hidden="1"/>
    </xf>
    <xf numFmtId="167" fontId="9" fillId="18" borderId="0" xfId="12" applyNumberFormat="1" applyFont="1" applyFill="1" applyAlignment="1" applyProtection="1">
      <alignment vertical="top"/>
      <protection hidden="1"/>
    </xf>
    <xf numFmtId="0" fontId="9" fillId="18" borderId="0" xfId="10" quotePrefix="1" applyFont="1" applyFill="1" applyAlignment="1" applyProtection="1">
      <alignment horizontal="left" indent="2"/>
      <protection hidden="1"/>
    </xf>
    <xf numFmtId="0" fontId="9" fillId="18" borderId="0" xfId="10" quotePrefix="1" applyFont="1" applyFill="1" applyProtection="1">
      <protection hidden="1"/>
    </xf>
    <xf numFmtId="167" fontId="11" fillId="18" borderId="0" xfId="12" applyNumberFormat="1" applyFont="1" applyFill="1" applyAlignment="1" applyProtection="1">
      <alignment horizontal="left" vertical="top"/>
      <protection hidden="1"/>
    </xf>
    <xf numFmtId="167" fontId="13" fillId="18" borderId="0" xfId="12" applyNumberFormat="1" applyFont="1" applyFill="1" applyAlignment="1" applyProtection="1">
      <alignment horizontal="left" indent="1"/>
      <protection hidden="1"/>
    </xf>
    <xf numFmtId="167" fontId="53" fillId="18" borderId="0" xfId="12" applyNumberFormat="1" applyFont="1" applyFill="1" applyAlignment="1" applyProtection="1">
      <alignment horizontal="left" indent="1"/>
      <protection hidden="1"/>
    </xf>
    <xf numFmtId="167" fontId="9" fillId="18" borderId="0" xfId="12" applyNumberFormat="1" applyFont="1" applyFill="1" applyAlignment="1" applyProtection="1">
      <alignment horizontal="left" vertical="center"/>
      <protection hidden="1"/>
    </xf>
    <xf numFmtId="167" fontId="9" fillId="18" borderId="0" xfId="12" applyNumberFormat="1" applyFont="1" applyFill="1" applyAlignment="1" applyProtection="1">
      <alignment horizontal="left" vertical="center" indent="1"/>
      <protection hidden="1"/>
    </xf>
    <xf numFmtId="167" fontId="9" fillId="18" borderId="0" xfId="12" applyNumberFormat="1" applyFont="1" applyFill="1" applyAlignment="1" applyProtection="1">
      <alignment horizontal="center" vertical="center"/>
      <protection hidden="1"/>
    </xf>
    <xf numFmtId="167" fontId="36" fillId="18" borderId="0" xfId="12" applyNumberFormat="1" applyFont="1" applyFill="1" applyAlignment="1" applyProtection="1">
      <alignment horizontal="left" vertical="top"/>
      <protection hidden="1"/>
    </xf>
    <xf numFmtId="169" fontId="9" fillId="18" borderId="0" xfId="0" quotePrefix="1" applyNumberFormat="1" applyFont="1" applyFill="1" applyProtection="1">
      <protection hidden="1"/>
    </xf>
    <xf numFmtId="167" fontId="36" fillId="18" borderId="0" xfId="12" applyNumberFormat="1" applyFont="1" applyFill="1" applyAlignment="1" applyProtection="1">
      <alignment vertical="top"/>
      <protection hidden="1"/>
    </xf>
    <xf numFmtId="167" fontId="18" fillId="18" borderId="0" xfId="12" applyNumberFormat="1" applyFont="1" applyFill="1" applyAlignment="1" applyProtection="1">
      <alignment horizontal="left"/>
      <protection hidden="1"/>
    </xf>
    <xf numFmtId="167" fontId="18" fillId="18" borderId="0" xfId="12" applyNumberFormat="1" applyFont="1" applyFill="1" applyAlignment="1" applyProtection="1">
      <alignment horizontal="left" indent="1"/>
      <protection hidden="1"/>
    </xf>
    <xf numFmtId="167" fontId="18" fillId="18" borderId="0" xfId="12" applyNumberFormat="1" applyFont="1" applyFill="1" applyProtection="1">
      <protection hidden="1"/>
    </xf>
    <xf numFmtId="167" fontId="18" fillId="18" borderId="0" xfId="12" applyNumberFormat="1" applyFont="1" applyFill="1" applyAlignment="1" applyProtection="1">
      <alignment horizontal="center"/>
      <protection hidden="1"/>
    </xf>
    <xf numFmtId="167" fontId="24" fillId="18" borderId="0" xfId="12" applyNumberFormat="1" applyFont="1" applyFill="1" applyAlignment="1" applyProtection="1">
      <alignment vertical="center"/>
      <protection hidden="1"/>
    </xf>
    <xf numFmtId="167" fontId="24" fillId="18" borderId="0" xfId="12" applyNumberFormat="1" applyFont="1" applyFill="1" applyAlignment="1" applyProtection="1">
      <alignment horizontal="center" vertical="center"/>
      <protection hidden="1"/>
    </xf>
    <xf numFmtId="167" fontId="50" fillId="18" borderId="0" xfId="12" applyNumberFormat="1" applyFont="1" applyFill="1" applyAlignment="1" applyProtection="1">
      <alignment horizontal="left"/>
      <protection hidden="1"/>
    </xf>
    <xf numFmtId="164" fontId="14" fillId="18" borderId="0" xfId="13" applyNumberFormat="1" applyFont="1" applyFill="1" applyBorder="1" applyAlignment="1" applyProtection="1">
      <alignment horizontal="center"/>
      <protection hidden="1"/>
    </xf>
    <xf numFmtId="167" fontId="50" fillId="18" borderId="0" xfId="12" applyNumberFormat="1" applyFont="1" applyFill="1" applyAlignment="1" applyProtection="1">
      <alignment horizontal="center"/>
      <protection hidden="1"/>
    </xf>
    <xf numFmtId="167" fontId="21" fillId="18" borderId="0" xfId="0" applyNumberFormat="1" applyFont="1" applyFill="1" applyProtection="1">
      <protection hidden="1"/>
    </xf>
    <xf numFmtId="167" fontId="21" fillId="18" borderId="0" xfId="0" applyNumberFormat="1" applyFont="1" applyFill="1" applyAlignment="1" applyProtection="1">
      <alignment horizontal="center"/>
      <protection hidden="1"/>
    </xf>
    <xf numFmtId="167" fontId="9" fillId="18" borderId="0" xfId="0" applyNumberFormat="1" applyFont="1" applyFill="1" applyAlignment="1" applyProtection="1">
      <alignment horizontal="center"/>
      <protection hidden="1"/>
    </xf>
    <xf numFmtId="38" fontId="19" fillId="18" borderId="0" xfId="0" applyNumberFormat="1" applyFont="1" applyFill="1" applyAlignment="1" applyProtection="1">
      <alignment horizontal="left"/>
      <protection hidden="1"/>
    </xf>
    <xf numFmtId="2" fontId="9" fillId="18" borderId="0" xfId="10" applyNumberFormat="1" applyFont="1" applyFill="1" applyAlignment="1" applyProtection="1">
      <alignment horizontal="left"/>
      <protection hidden="1"/>
    </xf>
    <xf numFmtId="167" fontId="53" fillId="18" borderId="0" xfId="12" applyNumberFormat="1" applyFont="1" applyFill="1" applyProtection="1">
      <protection hidden="1"/>
    </xf>
    <xf numFmtId="164" fontId="9" fillId="18" borderId="0" xfId="10" applyNumberFormat="1" applyFont="1" applyFill="1" applyAlignment="1" applyProtection="1">
      <alignment horizontal="left"/>
      <protection hidden="1"/>
    </xf>
    <xf numFmtId="175" fontId="71" fillId="18" borderId="0" xfId="13" applyNumberFormat="1" applyFont="1" applyFill="1" applyBorder="1" applyAlignment="1" applyProtection="1">
      <alignment horizontal="left" indent="2"/>
      <protection hidden="1"/>
    </xf>
    <xf numFmtId="38" fontId="25" fillId="18" borderId="0" xfId="4" applyNumberFormat="1" applyFont="1" applyFill="1" applyProtection="1">
      <protection hidden="1"/>
    </xf>
    <xf numFmtId="0" fontId="43" fillId="18" borderId="0" xfId="10" applyFont="1" applyFill="1" applyProtection="1">
      <protection hidden="1"/>
    </xf>
    <xf numFmtId="38" fontId="75" fillId="18" borderId="0" xfId="5" applyNumberFormat="1" applyFont="1" applyFill="1" applyAlignment="1" applyProtection="1">
      <alignment horizontal="left"/>
      <protection hidden="1"/>
    </xf>
    <xf numFmtId="38" fontId="45" fillId="18" borderId="0" xfId="5" applyNumberFormat="1" applyFont="1" applyFill="1" applyAlignment="1" applyProtection="1">
      <alignment horizontal="right"/>
      <protection hidden="1"/>
    </xf>
    <xf numFmtId="38" fontId="7" fillId="18" borderId="0" xfId="0" applyNumberFormat="1" applyFont="1" applyFill="1" applyProtection="1">
      <protection hidden="1"/>
    </xf>
    <xf numFmtId="0" fontId="11" fillId="18" borderId="0" xfId="0" applyFont="1" applyFill="1" applyProtection="1">
      <protection hidden="1"/>
    </xf>
    <xf numFmtId="0" fontId="13" fillId="18" borderId="0" xfId="5" applyFont="1" applyFill="1" applyAlignment="1" applyProtection="1">
      <alignment horizontal="left" indent="1"/>
      <protection hidden="1"/>
    </xf>
    <xf numFmtId="38" fontId="1" fillId="18" borderId="0" xfId="0" applyNumberFormat="1" applyFont="1" applyFill="1" applyProtection="1">
      <protection hidden="1"/>
    </xf>
    <xf numFmtId="0" fontId="13" fillId="18" borderId="0" xfId="5" applyFont="1" applyFill="1" applyProtection="1">
      <protection hidden="1"/>
    </xf>
    <xf numFmtId="165" fontId="13" fillId="18" borderId="0" xfId="0" applyNumberFormat="1" applyFont="1" applyFill="1" applyAlignment="1" applyProtection="1">
      <alignment horizontal="left" indent="1"/>
      <protection hidden="1"/>
    </xf>
    <xf numFmtId="38" fontId="14" fillId="18" borderId="0" xfId="4" applyNumberFormat="1" applyFont="1" applyFill="1" applyAlignment="1" applyProtection="1">
      <alignment horizontal="center"/>
      <protection hidden="1"/>
    </xf>
    <xf numFmtId="0" fontId="13" fillId="18" borderId="0" xfId="5" applyFont="1" applyFill="1" applyAlignment="1" applyProtection="1">
      <alignment horizontal="left" indent="2"/>
      <protection hidden="1"/>
    </xf>
    <xf numFmtId="38" fontId="8" fillId="18" borderId="0" xfId="1" applyNumberFormat="1" applyFont="1" applyFill="1" applyAlignment="1" applyProtection="1">
      <alignment horizontal="center"/>
      <protection hidden="1"/>
    </xf>
    <xf numFmtId="38" fontId="35" fillId="18" borderId="0" xfId="4" applyNumberFormat="1" applyFont="1" applyFill="1" applyAlignment="1" applyProtection="1">
      <alignment horizontal="center"/>
      <protection hidden="1"/>
    </xf>
    <xf numFmtId="38" fontId="8" fillId="18" borderId="0" xfId="4" applyNumberFormat="1" applyFont="1" applyFill="1" applyAlignment="1" applyProtection="1">
      <alignment horizontal="center"/>
      <protection hidden="1"/>
    </xf>
    <xf numFmtId="38" fontId="8" fillId="18" borderId="0" xfId="1" applyNumberFormat="1" applyFont="1" applyFill="1" applyAlignment="1" applyProtection="1">
      <alignment horizontal="right"/>
      <protection hidden="1"/>
    </xf>
    <xf numFmtId="0" fontId="13" fillId="18" borderId="0" xfId="10" applyFont="1" applyFill="1" applyProtection="1">
      <protection hidden="1"/>
    </xf>
    <xf numFmtId="165" fontId="14" fillId="18" borderId="0" xfId="0" applyNumberFormat="1" applyFont="1" applyFill="1" applyProtection="1">
      <protection hidden="1"/>
    </xf>
    <xf numFmtId="165" fontId="100" fillId="18" borderId="0" xfId="0" applyNumberFormat="1" applyFont="1" applyFill="1" applyProtection="1">
      <protection hidden="1"/>
    </xf>
    <xf numFmtId="165" fontId="100" fillId="18" borderId="0" xfId="0" applyNumberFormat="1" applyFont="1" applyFill="1" applyAlignment="1" applyProtection="1">
      <alignment horizontal="center"/>
      <protection hidden="1"/>
    </xf>
    <xf numFmtId="0" fontId="13" fillId="18" borderId="0" xfId="5" applyFont="1" applyFill="1" applyAlignment="1" applyProtection="1">
      <alignment horizontal="left"/>
      <protection hidden="1"/>
    </xf>
    <xf numFmtId="0" fontId="13" fillId="18" borderId="0" xfId="5" applyFont="1" applyFill="1" applyAlignment="1" applyProtection="1">
      <alignment horizontal="center"/>
      <protection hidden="1"/>
    </xf>
    <xf numFmtId="38" fontId="51" fillId="18" borderId="0" xfId="5" applyNumberFormat="1" applyFont="1" applyFill="1" applyAlignment="1" applyProtection="1">
      <alignment vertical="center"/>
      <protection hidden="1"/>
    </xf>
    <xf numFmtId="165" fontId="11" fillId="18" borderId="0" xfId="0" applyNumberFormat="1" applyFont="1" applyFill="1" applyAlignment="1" applyProtection="1">
      <alignment horizontal="center"/>
      <protection hidden="1"/>
    </xf>
    <xf numFmtId="38" fontId="18" fillId="18" borderId="0" xfId="1" applyNumberFormat="1" applyFont="1" applyFill="1" applyAlignment="1" applyProtection="1">
      <alignment horizontal="center" vertical="top"/>
      <protection hidden="1"/>
    </xf>
    <xf numFmtId="165" fontId="18" fillId="18" borderId="0" xfId="0" applyNumberFormat="1" applyFont="1" applyFill="1" applyAlignment="1" applyProtection="1">
      <alignment vertical="top"/>
      <protection hidden="1"/>
    </xf>
    <xf numFmtId="0" fontId="18" fillId="18" borderId="0" xfId="5" applyFont="1" applyFill="1" applyAlignment="1" applyProtection="1">
      <alignment vertical="top"/>
      <protection hidden="1"/>
    </xf>
    <xf numFmtId="0" fontId="11" fillId="18" borderId="0" xfId="10" applyFont="1" applyFill="1" applyAlignment="1" applyProtection="1">
      <alignment horizontal="left" vertical="top"/>
      <protection hidden="1"/>
    </xf>
    <xf numFmtId="165" fontId="11" fillId="18" borderId="0" xfId="0" applyNumberFormat="1" applyFont="1" applyFill="1" applyAlignment="1" applyProtection="1">
      <alignment horizontal="left" vertical="top"/>
      <protection hidden="1"/>
    </xf>
    <xf numFmtId="165" fontId="11" fillId="18" borderId="0" xfId="0" applyNumberFormat="1" applyFont="1" applyFill="1" applyAlignment="1" applyProtection="1">
      <alignment vertical="top"/>
      <protection hidden="1"/>
    </xf>
    <xf numFmtId="0" fontId="11" fillId="18" borderId="0" xfId="5" applyFont="1" applyFill="1" applyAlignment="1" applyProtection="1">
      <alignment vertical="top"/>
      <protection hidden="1"/>
    </xf>
    <xf numFmtId="0" fontId="11" fillId="18" borderId="0" xfId="10" applyFont="1" applyFill="1" applyAlignment="1" applyProtection="1">
      <alignment vertical="top"/>
      <protection hidden="1"/>
    </xf>
    <xf numFmtId="0" fontId="11" fillId="18" borderId="0" xfId="10" applyFont="1" applyFill="1" applyAlignment="1" applyProtection="1">
      <alignment horizontal="center" vertical="top"/>
      <protection hidden="1"/>
    </xf>
    <xf numFmtId="169" fontId="11" fillId="18" borderId="0" xfId="10" applyNumberFormat="1" applyFont="1" applyFill="1" applyAlignment="1" applyProtection="1">
      <alignment horizontal="center" vertical="top"/>
      <protection hidden="1"/>
    </xf>
    <xf numFmtId="165" fontId="11" fillId="18" borderId="0" xfId="0" applyNumberFormat="1" applyFont="1" applyFill="1" applyAlignment="1" applyProtection="1">
      <alignment horizontal="center" vertical="top"/>
      <protection hidden="1"/>
    </xf>
    <xf numFmtId="166" fontId="11" fillId="18" borderId="0" xfId="10" applyNumberFormat="1" applyFont="1" applyFill="1" applyAlignment="1" applyProtection="1">
      <alignment vertical="top"/>
      <protection hidden="1"/>
    </xf>
    <xf numFmtId="166" fontId="11" fillId="18" borderId="0" xfId="10" applyNumberFormat="1" applyFont="1" applyFill="1" applyAlignment="1" applyProtection="1">
      <alignment horizontal="center" vertical="top"/>
      <protection hidden="1"/>
    </xf>
    <xf numFmtId="166" fontId="9" fillId="18" borderId="0" xfId="10" applyNumberFormat="1" applyFont="1" applyFill="1" applyAlignment="1" applyProtection="1">
      <alignment horizontal="center" vertical="top"/>
      <protection hidden="1"/>
    </xf>
    <xf numFmtId="0" fontId="9" fillId="18" borderId="0" xfId="10" applyFont="1" applyFill="1" applyAlignment="1" applyProtection="1">
      <alignment vertical="top"/>
      <protection hidden="1"/>
    </xf>
    <xf numFmtId="0" fontId="9" fillId="18" borderId="0" xfId="5" applyFont="1" applyFill="1" applyAlignment="1" applyProtection="1">
      <alignment vertical="top"/>
      <protection hidden="1"/>
    </xf>
    <xf numFmtId="0" fontId="9" fillId="18" borderId="0" xfId="5" applyFont="1" applyFill="1" applyAlignment="1" applyProtection="1">
      <alignment horizontal="right" vertical="top"/>
      <protection hidden="1"/>
    </xf>
    <xf numFmtId="38" fontId="9" fillId="18" borderId="0" xfId="1" applyNumberFormat="1" applyFont="1" applyFill="1" applyAlignment="1" applyProtection="1">
      <alignment vertical="top"/>
      <protection hidden="1"/>
    </xf>
    <xf numFmtId="165" fontId="11" fillId="18" borderId="0" xfId="0" applyNumberFormat="1" applyFont="1" applyFill="1" applyAlignment="1" applyProtection="1">
      <alignment horizontal="right" vertical="top"/>
      <protection hidden="1"/>
    </xf>
    <xf numFmtId="38" fontId="18" fillId="18" borderId="0" xfId="1" applyNumberFormat="1" applyFont="1" applyFill="1" applyAlignment="1" applyProtection="1">
      <alignment vertical="top"/>
      <protection hidden="1"/>
    </xf>
    <xf numFmtId="0" fontId="53" fillId="18" borderId="0" xfId="5" applyFont="1" applyFill="1" applyAlignment="1" applyProtection="1">
      <alignment vertical="top"/>
      <protection hidden="1"/>
    </xf>
    <xf numFmtId="38" fontId="53" fillId="18" borderId="0" xfId="1" applyNumberFormat="1" applyFont="1" applyFill="1" applyAlignment="1" applyProtection="1">
      <alignment vertical="top"/>
      <protection hidden="1"/>
    </xf>
    <xf numFmtId="38" fontId="18" fillId="18" borderId="0" xfId="1" applyNumberFormat="1" applyFont="1" applyFill="1" applyAlignment="1" applyProtection="1">
      <alignment horizontal="center" vertical="center"/>
      <protection hidden="1"/>
    </xf>
    <xf numFmtId="0" fontId="18" fillId="18" borderId="0" xfId="5" applyFont="1" applyFill="1" applyAlignment="1" applyProtection="1">
      <alignment vertical="center"/>
      <protection hidden="1"/>
    </xf>
    <xf numFmtId="165" fontId="9" fillId="18" borderId="0" xfId="0" quotePrefix="1" applyNumberFormat="1" applyFont="1" applyFill="1" applyProtection="1">
      <protection hidden="1"/>
    </xf>
    <xf numFmtId="165" fontId="31" fillId="18" borderId="0" xfId="0" applyNumberFormat="1" applyFont="1" applyFill="1" applyProtection="1">
      <protection hidden="1"/>
    </xf>
    <xf numFmtId="169" fontId="96" fillId="18" borderId="0" xfId="0" quotePrefix="1" applyNumberFormat="1" applyFont="1" applyFill="1" applyProtection="1">
      <protection hidden="1"/>
    </xf>
    <xf numFmtId="165" fontId="31" fillId="18" borderId="0" xfId="0" applyNumberFormat="1" applyFont="1" applyFill="1" applyAlignment="1" applyProtection="1">
      <alignment horizontal="left" vertical="center" indent="1"/>
      <protection hidden="1"/>
    </xf>
    <xf numFmtId="0" fontId="9" fillId="18" borderId="0" xfId="5" quotePrefix="1" applyFont="1" applyFill="1" applyProtection="1">
      <protection hidden="1"/>
    </xf>
    <xf numFmtId="165" fontId="13" fillId="18" borderId="0" xfId="0" applyNumberFormat="1" applyFont="1" applyFill="1" applyAlignment="1" applyProtection="1">
      <alignment horizontal="right"/>
      <protection hidden="1"/>
    </xf>
    <xf numFmtId="0" fontId="13" fillId="18" borderId="0" xfId="5" applyFont="1" applyFill="1" applyAlignment="1" applyProtection="1">
      <alignment vertical="top"/>
      <protection hidden="1"/>
    </xf>
    <xf numFmtId="2" fontId="33" fillId="18" borderId="0" xfId="5" applyNumberFormat="1" applyFont="1" applyFill="1" applyProtection="1">
      <protection hidden="1"/>
    </xf>
    <xf numFmtId="174" fontId="13" fillId="18" borderId="0" xfId="0" applyNumberFormat="1" applyFont="1" applyFill="1" applyProtection="1">
      <protection hidden="1"/>
    </xf>
    <xf numFmtId="0" fontId="31" fillId="18" borderId="0" xfId="5" applyFont="1" applyFill="1" applyProtection="1">
      <protection hidden="1"/>
    </xf>
    <xf numFmtId="0" fontId="13" fillId="18" borderId="0" xfId="5" applyFont="1" applyFill="1" applyAlignment="1" applyProtection="1">
      <alignment horizontal="right"/>
      <protection hidden="1"/>
    </xf>
    <xf numFmtId="0" fontId="18" fillId="18" borderId="0" xfId="5" applyFont="1" applyFill="1" applyAlignment="1" applyProtection="1">
      <alignment horizontal="right" vertical="center"/>
      <protection hidden="1"/>
    </xf>
    <xf numFmtId="0" fontId="14" fillId="18" borderId="0" xfId="5" applyFont="1" applyFill="1" applyProtection="1">
      <protection hidden="1"/>
    </xf>
    <xf numFmtId="0" fontId="18" fillId="21" borderId="9" xfId="5" applyFont="1" applyFill="1" applyBorder="1" applyAlignment="1" applyProtection="1">
      <alignment horizontal="left" vertical="center"/>
      <protection hidden="1"/>
    </xf>
    <xf numFmtId="0" fontId="18" fillId="21" borderId="9" xfId="5" applyFont="1" applyFill="1" applyBorder="1" applyAlignment="1" applyProtection="1">
      <alignment vertical="center"/>
      <protection hidden="1"/>
    </xf>
    <xf numFmtId="0" fontId="18" fillId="21" borderId="2" xfId="5" applyFont="1" applyFill="1" applyBorder="1" applyAlignment="1" applyProtection="1">
      <alignment vertical="center"/>
      <protection hidden="1"/>
    </xf>
    <xf numFmtId="38" fontId="9" fillId="18" borderId="0" xfId="1" applyNumberFormat="1" applyFont="1" applyFill="1" applyAlignment="1" applyProtection="1">
      <alignment vertical="center"/>
      <protection hidden="1"/>
    </xf>
    <xf numFmtId="38" fontId="100" fillId="18" borderId="0" xfId="1" applyNumberFormat="1" applyFont="1" applyFill="1" applyProtection="1">
      <protection hidden="1"/>
    </xf>
    <xf numFmtId="170" fontId="68" fillId="18" borderId="0" xfId="1" applyNumberFormat="1" applyFont="1" applyFill="1" applyProtection="1">
      <protection hidden="1"/>
    </xf>
    <xf numFmtId="38" fontId="65" fillId="18" borderId="0" xfId="1" applyNumberFormat="1" applyFont="1" applyFill="1" applyProtection="1">
      <protection hidden="1"/>
    </xf>
    <xf numFmtId="9" fontId="65" fillId="18" borderId="2" xfId="8" applyFont="1" applyFill="1" applyBorder="1" applyAlignment="1" applyProtection="1">
      <alignment horizontal="center"/>
      <protection hidden="1"/>
    </xf>
    <xf numFmtId="0" fontId="11" fillId="18" borderId="0" xfId="0" applyFont="1" applyFill="1" applyAlignment="1" applyProtection="1">
      <alignment horizontal="left" indent="1"/>
      <protection hidden="1"/>
    </xf>
    <xf numFmtId="38" fontId="11" fillId="18" borderId="0" xfId="0" applyNumberFormat="1" applyFont="1" applyFill="1" applyAlignment="1" applyProtection="1">
      <alignment horizontal="left" indent="1"/>
      <protection hidden="1"/>
    </xf>
    <xf numFmtId="38" fontId="10" fillId="18" borderId="0" xfId="0" applyNumberFormat="1" applyFont="1" applyFill="1" applyAlignment="1" applyProtection="1">
      <alignment horizontal="left"/>
      <protection hidden="1"/>
    </xf>
    <xf numFmtId="38" fontId="67" fillId="18" borderId="0" xfId="0" applyNumberFormat="1" applyFont="1" applyFill="1" applyAlignment="1" applyProtection="1">
      <alignment vertical="center"/>
      <protection hidden="1"/>
    </xf>
    <xf numFmtId="38" fontId="106" fillId="18" borderId="0" xfId="0" applyNumberFormat="1" applyFont="1" applyFill="1" applyAlignment="1" applyProtection="1">
      <alignment horizontal="center"/>
      <protection hidden="1"/>
    </xf>
    <xf numFmtId="38" fontId="25" fillId="18" borderId="0" xfId="0" applyNumberFormat="1" applyFont="1" applyFill="1" applyAlignment="1" applyProtection="1">
      <alignment vertical="center"/>
      <protection hidden="1"/>
    </xf>
    <xf numFmtId="0" fontId="9" fillId="18" borderId="0" xfId="0" quotePrefix="1" applyFont="1" applyFill="1" applyProtection="1">
      <protection hidden="1"/>
    </xf>
    <xf numFmtId="38" fontId="0" fillId="18" borderId="0" xfId="0" applyNumberFormat="1" applyFill="1" applyAlignment="1" applyProtection="1">
      <alignment horizontal="left"/>
      <protection hidden="1"/>
    </xf>
    <xf numFmtId="38" fontId="9" fillId="18" borderId="0" xfId="0" applyNumberFormat="1" applyFont="1" applyFill="1" applyAlignment="1" applyProtection="1">
      <alignment horizontal="left"/>
      <protection hidden="1"/>
    </xf>
    <xf numFmtId="38" fontId="97" fillId="18" borderId="0" xfId="1" applyNumberFormat="1" applyFont="1" applyFill="1" applyProtection="1">
      <protection hidden="1"/>
    </xf>
    <xf numFmtId="38" fontId="71" fillId="18" borderId="0" xfId="1" applyNumberFormat="1" applyFont="1" applyFill="1" applyAlignment="1" applyProtection="1">
      <alignment horizontal="center"/>
      <protection hidden="1"/>
    </xf>
    <xf numFmtId="9" fontId="0" fillId="18" borderId="0" xfId="13" applyFont="1" applyFill="1" applyBorder="1" applyAlignment="1" applyProtection="1">
      <alignment horizontal="left"/>
      <protection hidden="1"/>
    </xf>
    <xf numFmtId="9" fontId="0" fillId="18" borderId="0" xfId="13" applyFont="1" applyFill="1" applyBorder="1" applyAlignment="1" applyProtection="1">
      <alignment horizontal="center"/>
      <protection hidden="1"/>
    </xf>
    <xf numFmtId="0" fontId="0" fillId="18" borderId="0" xfId="0" applyFill="1" applyAlignment="1" applyProtection="1">
      <alignment horizontal="center"/>
      <protection hidden="1"/>
    </xf>
    <xf numFmtId="9" fontId="10" fillId="18" borderId="0" xfId="8" applyFont="1" applyFill="1" applyBorder="1" applyAlignment="1" applyProtection="1">
      <alignment horizontal="left"/>
      <protection hidden="1"/>
    </xf>
    <xf numFmtId="38" fontId="105" fillId="18" borderId="0" xfId="0" applyNumberFormat="1" applyFont="1" applyFill="1" applyAlignment="1" applyProtection="1">
      <alignment horizontal="left"/>
      <protection hidden="1"/>
    </xf>
    <xf numFmtId="38" fontId="65" fillId="18" borderId="0" xfId="1" applyNumberFormat="1" applyFont="1" applyFill="1" applyAlignment="1" applyProtection="1">
      <alignment horizontal="center"/>
      <protection hidden="1"/>
    </xf>
    <xf numFmtId="170" fontId="9" fillId="18" borderId="0" xfId="0" applyNumberFormat="1" applyFont="1" applyFill="1" applyAlignment="1" applyProtection="1">
      <alignment horizontal="left"/>
      <protection hidden="1"/>
    </xf>
    <xf numFmtId="179" fontId="9" fillId="18" borderId="0" xfId="1" applyNumberFormat="1" applyFont="1" applyFill="1" applyAlignment="1" applyProtection="1">
      <alignment horizontal="right"/>
      <protection hidden="1"/>
    </xf>
    <xf numFmtId="169" fontId="9" fillId="18" borderId="0" xfId="1" applyNumberFormat="1" applyFont="1" applyFill="1" applyAlignment="1" applyProtection="1">
      <alignment horizontal="left"/>
      <protection hidden="1"/>
    </xf>
    <xf numFmtId="14" fontId="9" fillId="18" borderId="0" xfId="1" applyNumberFormat="1" applyFont="1" applyFill="1" applyAlignment="1" applyProtection="1">
      <alignment horizontal="right"/>
      <protection hidden="1"/>
    </xf>
    <xf numFmtId="38" fontId="9" fillId="18" borderId="0" xfId="1" applyNumberFormat="1" applyFont="1" applyFill="1" applyAlignment="1" applyProtection="1">
      <alignment horizontal="left" vertical="top" indent="1"/>
      <protection hidden="1"/>
    </xf>
    <xf numFmtId="38" fontId="9" fillId="18" borderId="0" xfId="1" applyNumberFormat="1" applyFont="1" applyFill="1" applyAlignment="1" applyProtection="1">
      <alignment horizontal="left" vertical="center" indent="1"/>
      <protection hidden="1"/>
    </xf>
    <xf numFmtId="38" fontId="9" fillId="18" borderId="0" xfId="1" quotePrefix="1" applyNumberFormat="1" applyFont="1" applyFill="1" applyAlignment="1" applyProtection="1">
      <alignment horizontal="center"/>
      <protection hidden="1"/>
    </xf>
    <xf numFmtId="38" fontId="11" fillId="18" borderId="0" xfId="1" applyNumberFormat="1" applyFont="1" applyFill="1" applyAlignment="1" applyProtection="1">
      <alignment horizontal="left" indent="1"/>
      <protection hidden="1"/>
    </xf>
    <xf numFmtId="38" fontId="11" fillId="18" borderId="0" xfId="1" applyNumberFormat="1" applyFont="1" applyFill="1" applyAlignment="1" applyProtection="1">
      <alignment horizontal="left" vertical="center" indent="1"/>
      <protection hidden="1"/>
    </xf>
    <xf numFmtId="38" fontId="9" fillId="18" borderId="0" xfId="1" applyNumberFormat="1" applyFont="1" applyFill="1" applyAlignment="1" applyProtection="1">
      <alignment horizontal="left" vertical="center"/>
      <protection hidden="1"/>
    </xf>
    <xf numFmtId="38" fontId="9" fillId="18" borderId="0" xfId="1" quotePrefix="1" applyNumberFormat="1" applyFont="1" applyFill="1" applyAlignment="1" applyProtection="1">
      <alignment horizontal="left" vertical="center" indent="1"/>
      <protection hidden="1"/>
    </xf>
    <xf numFmtId="0" fontId="16" fillId="18" borderId="0" xfId="0" applyFont="1" applyFill="1" applyProtection="1">
      <protection hidden="1"/>
    </xf>
    <xf numFmtId="38" fontId="11" fillId="18" borderId="0" xfId="1" applyNumberFormat="1" applyFont="1" applyFill="1" applyAlignment="1" applyProtection="1">
      <alignment horizontal="right"/>
      <protection hidden="1"/>
    </xf>
    <xf numFmtId="165" fontId="75" fillId="18" borderId="0" xfId="0" applyNumberFormat="1" applyFont="1" applyFill="1" applyProtection="1">
      <protection hidden="1"/>
    </xf>
    <xf numFmtId="38" fontId="45" fillId="18" borderId="0" xfId="0" applyNumberFormat="1" applyFont="1" applyFill="1" applyAlignment="1" applyProtection="1">
      <alignment horizontal="left"/>
      <protection hidden="1"/>
    </xf>
    <xf numFmtId="38" fontId="45" fillId="18" borderId="0" xfId="0" applyNumberFormat="1" applyFont="1" applyFill="1" applyAlignment="1" applyProtection="1">
      <alignment horizontal="center"/>
      <protection hidden="1"/>
    </xf>
    <xf numFmtId="38" fontId="47" fillId="18" borderId="0" xfId="0" applyNumberFormat="1" applyFont="1" applyFill="1" applyAlignment="1" applyProtection="1">
      <alignment horizontal="center"/>
      <protection hidden="1"/>
    </xf>
    <xf numFmtId="38" fontId="47" fillId="18" borderId="0" xfId="0" applyNumberFormat="1" applyFont="1" applyFill="1" applyAlignment="1" applyProtection="1">
      <alignment horizontal="left"/>
      <protection hidden="1"/>
    </xf>
    <xf numFmtId="38" fontId="45" fillId="18" borderId="0" xfId="0" applyNumberFormat="1" applyFont="1" applyFill="1" applyAlignment="1" applyProtection="1">
      <alignment horizontal="right"/>
      <protection hidden="1"/>
    </xf>
    <xf numFmtId="38" fontId="9" fillId="18" borderId="0" xfId="1" applyNumberFormat="1" applyFont="1" applyFill="1" applyAlignment="1" applyProtection="1">
      <alignment horizontal="right" vertical="top"/>
      <protection hidden="1"/>
    </xf>
    <xf numFmtId="38" fontId="14" fillId="18" borderId="0" xfId="1" applyNumberFormat="1" applyFont="1" applyFill="1" applyAlignment="1" applyProtection="1">
      <alignment horizontal="left"/>
      <protection hidden="1"/>
    </xf>
    <xf numFmtId="38" fontId="14" fillId="18" borderId="0" xfId="4" applyNumberFormat="1" applyFont="1" applyFill="1" applyAlignment="1" applyProtection="1">
      <alignment horizontal="right" indent="1"/>
      <protection hidden="1"/>
    </xf>
    <xf numFmtId="38" fontId="9" fillId="18" borderId="0" xfId="1" applyNumberFormat="1" applyFont="1" applyFill="1" applyAlignment="1" applyProtection="1">
      <alignment horizontal="right" vertical="center"/>
      <protection hidden="1"/>
    </xf>
    <xf numFmtId="38" fontId="9" fillId="18" borderId="0" xfId="1" applyNumberFormat="1" applyFont="1" applyFill="1" applyAlignment="1" applyProtection="1">
      <alignment horizontal="center" vertical="top"/>
      <protection hidden="1"/>
    </xf>
    <xf numFmtId="38" fontId="13" fillId="18" borderId="0" xfId="1" applyNumberFormat="1" applyFont="1" applyFill="1" applyAlignment="1" applyProtection="1">
      <alignment horizontal="left" vertical="top"/>
      <protection hidden="1"/>
    </xf>
    <xf numFmtId="38" fontId="9" fillId="18" borderId="0" xfId="1" applyNumberFormat="1" applyFont="1" applyFill="1" applyAlignment="1" applyProtection="1">
      <alignment horizontal="left" vertical="top"/>
      <protection hidden="1"/>
    </xf>
    <xf numFmtId="38" fontId="100" fillId="18" borderId="0" xfId="1" applyNumberFormat="1" applyFont="1" applyFill="1" applyAlignment="1" applyProtection="1">
      <alignment horizontal="left" vertical="top"/>
      <protection hidden="1"/>
    </xf>
    <xf numFmtId="38" fontId="11" fillId="18" borderId="0" xfId="1" applyNumberFormat="1" applyFont="1" applyFill="1" applyAlignment="1" applyProtection="1">
      <alignment horizontal="left" vertical="top"/>
      <protection hidden="1"/>
    </xf>
    <xf numFmtId="0" fontId="51" fillId="18" borderId="0" xfId="0" applyFont="1" applyFill="1" applyAlignment="1" applyProtection="1">
      <alignment horizontal="left" indent="1"/>
      <protection hidden="1"/>
    </xf>
    <xf numFmtId="38" fontId="10" fillId="18" borderId="0" xfId="0" applyNumberFormat="1" applyFont="1" applyFill="1" applyAlignment="1" applyProtection="1">
      <alignment horizontal="left" vertical="top" indent="1"/>
      <protection hidden="1"/>
    </xf>
    <xf numFmtId="0" fontId="10" fillId="18" borderId="0" xfId="0" applyFont="1" applyFill="1" applyAlignment="1" applyProtection="1">
      <alignment horizontal="left" indent="2"/>
      <protection hidden="1"/>
    </xf>
    <xf numFmtId="38" fontId="9" fillId="18" borderId="0" xfId="1" applyNumberFormat="1" applyFont="1" applyFill="1" applyAlignment="1" applyProtection="1">
      <alignment horizontal="left" indent="2"/>
      <protection hidden="1"/>
    </xf>
    <xf numFmtId="0" fontId="51" fillId="18" borderId="0" xfId="0" applyFont="1" applyFill="1" applyAlignment="1" applyProtection="1">
      <alignment horizontal="left" indent="2"/>
      <protection hidden="1"/>
    </xf>
    <xf numFmtId="0" fontId="13" fillId="18" borderId="0" xfId="0" applyFont="1" applyFill="1" applyAlignment="1" applyProtection="1">
      <alignment vertical="center"/>
      <protection hidden="1"/>
    </xf>
    <xf numFmtId="0" fontId="13" fillId="18" borderId="5" xfId="0" applyFont="1" applyFill="1" applyBorder="1" applyProtection="1">
      <protection hidden="1"/>
    </xf>
    <xf numFmtId="167" fontId="18" fillId="18" borderId="0" xfId="11" applyNumberFormat="1" applyFont="1" applyFill="1" applyProtection="1">
      <protection hidden="1"/>
    </xf>
    <xf numFmtId="0" fontId="22" fillId="18" borderId="0" xfId="0" applyFont="1" applyFill="1" applyProtection="1">
      <protection hidden="1"/>
    </xf>
    <xf numFmtId="38" fontId="52" fillId="21" borderId="4" xfId="1" applyNumberFormat="1" applyFont="1" applyFill="1" applyBorder="1" applyProtection="1">
      <protection hidden="1"/>
    </xf>
    <xf numFmtId="38" fontId="74" fillId="21" borderId="4" xfId="1" applyNumberFormat="1" applyFont="1" applyFill="1" applyBorder="1" applyProtection="1">
      <protection hidden="1"/>
    </xf>
    <xf numFmtId="172" fontId="74" fillId="21" borderId="4" xfId="1" applyNumberFormat="1" applyFont="1" applyFill="1" applyBorder="1" applyAlignment="1" applyProtection="1">
      <alignment horizontal="left"/>
      <protection hidden="1"/>
    </xf>
    <xf numFmtId="38" fontId="70" fillId="21" borderId="8" xfId="1" applyNumberFormat="1" applyFont="1" applyFill="1" applyBorder="1" applyProtection="1">
      <protection hidden="1"/>
    </xf>
    <xf numFmtId="38" fontId="70" fillId="21" borderId="5" xfId="1" applyNumberFormat="1" applyFont="1" applyFill="1" applyBorder="1" applyProtection="1">
      <protection hidden="1"/>
    </xf>
    <xf numFmtId="172" fontId="74" fillId="21" borderId="8" xfId="1" applyNumberFormat="1" applyFont="1" applyFill="1" applyBorder="1" applyAlignment="1" applyProtection="1">
      <alignment horizontal="left"/>
      <protection hidden="1"/>
    </xf>
    <xf numFmtId="38" fontId="72" fillId="21" borderId="4" xfId="1" applyNumberFormat="1" applyFont="1" applyFill="1" applyBorder="1" applyProtection="1">
      <protection hidden="1"/>
    </xf>
    <xf numFmtId="38" fontId="72" fillId="21" borderId="5" xfId="1" applyNumberFormat="1" applyFont="1" applyFill="1" applyBorder="1" applyProtection="1">
      <protection hidden="1"/>
    </xf>
    <xf numFmtId="172" fontId="74" fillId="21" borderId="5" xfId="1" applyNumberFormat="1" applyFont="1" applyFill="1" applyBorder="1" applyAlignment="1" applyProtection="1">
      <alignment horizontal="left"/>
      <protection hidden="1"/>
    </xf>
    <xf numFmtId="38" fontId="52" fillId="21" borderId="5" xfId="1" applyNumberFormat="1" applyFont="1" applyFill="1" applyBorder="1" applyProtection="1">
      <protection hidden="1"/>
    </xf>
    <xf numFmtId="38" fontId="74" fillId="21" borderId="8" xfId="1" applyNumberFormat="1" applyFont="1" applyFill="1" applyBorder="1" applyProtection="1">
      <protection hidden="1"/>
    </xf>
    <xf numFmtId="172" fontId="74" fillId="21" borderId="14" xfId="1" applyNumberFormat="1" applyFont="1" applyFill="1" applyBorder="1" applyAlignment="1" applyProtection="1">
      <alignment horizontal="left"/>
      <protection hidden="1"/>
    </xf>
    <xf numFmtId="177" fontId="9" fillId="18" borderId="0" xfId="8" applyNumberFormat="1" applyFont="1" applyFill="1" applyBorder="1" applyAlignment="1" applyProtection="1">
      <protection hidden="1"/>
    </xf>
    <xf numFmtId="38" fontId="52" fillId="21" borderId="14" xfId="1" applyNumberFormat="1" applyFont="1" applyFill="1" applyBorder="1" applyProtection="1">
      <protection hidden="1"/>
    </xf>
    <xf numFmtId="38" fontId="70" fillId="21" borderId="4" xfId="1" applyNumberFormat="1" applyFont="1" applyFill="1" applyBorder="1" applyProtection="1">
      <protection hidden="1"/>
    </xf>
    <xf numFmtId="38" fontId="52" fillId="21" borderId="8" xfId="1" applyNumberFormat="1" applyFont="1" applyFill="1" applyBorder="1" applyProtection="1">
      <protection hidden="1"/>
    </xf>
    <xf numFmtId="38" fontId="9" fillId="21" borderId="9" xfId="5" applyNumberFormat="1" applyFont="1" applyFill="1" applyBorder="1" applyAlignment="1" applyProtection="1">
      <alignment horizontal="left"/>
      <protection hidden="1"/>
    </xf>
    <xf numFmtId="38" fontId="9" fillId="21" borderId="3" xfId="5" applyNumberFormat="1" applyFont="1" applyFill="1" applyBorder="1" applyAlignment="1" applyProtection="1">
      <alignment horizontal="left" indent="1"/>
      <protection hidden="1"/>
    </xf>
    <xf numFmtId="167" fontId="9" fillId="21" borderId="3" xfId="5" applyNumberFormat="1" applyFont="1" applyFill="1" applyBorder="1" applyAlignment="1" applyProtection="1">
      <alignment horizontal="left" indent="1"/>
      <protection hidden="1"/>
    </xf>
    <xf numFmtId="170" fontId="11" fillId="21" borderId="0" xfId="5" applyNumberFormat="1" applyFont="1" applyFill="1" applyAlignment="1" applyProtection="1">
      <alignment horizontal="left" vertical="center"/>
      <protection hidden="1"/>
    </xf>
    <xf numFmtId="38" fontId="9" fillId="21" borderId="2" xfId="5" applyNumberFormat="1" applyFont="1" applyFill="1" applyBorder="1" applyAlignment="1" applyProtection="1">
      <alignment horizontal="left" indent="1"/>
      <protection hidden="1"/>
    </xf>
    <xf numFmtId="38" fontId="9" fillId="21" borderId="7" xfId="1" applyNumberFormat="1" applyFont="1" applyFill="1" applyBorder="1" applyAlignment="1" applyProtection="1">
      <alignment horizontal="left" indent="1"/>
      <protection hidden="1"/>
    </xf>
    <xf numFmtId="38" fontId="9" fillId="21" borderId="12" xfId="5" applyNumberFormat="1" applyFont="1" applyFill="1" applyBorder="1" applyProtection="1">
      <protection hidden="1"/>
    </xf>
    <xf numFmtId="38" fontId="31" fillId="21" borderId="18" xfId="5" applyNumberFormat="1" applyFont="1" applyFill="1" applyBorder="1" applyAlignment="1" applyProtection="1">
      <alignment horizontal="left" indent="1"/>
      <protection hidden="1"/>
    </xf>
    <xf numFmtId="38" fontId="31" fillId="21" borderId="7" xfId="5" applyNumberFormat="1" applyFont="1" applyFill="1" applyBorder="1" applyAlignment="1" applyProtection="1">
      <alignment horizontal="left" indent="1"/>
      <protection hidden="1"/>
    </xf>
    <xf numFmtId="38" fontId="9" fillId="21" borderId="12" xfId="1" applyNumberFormat="1" applyFont="1" applyFill="1" applyBorder="1" applyAlignment="1" applyProtection="1">
      <alignment horizontal="left" indent="1"/>
      <protection hidden="1"/>
    </xf>
    <xf numFmtId="38" fontId="9" fillId="21" borderId="2" xfId="1" applyNumberFormat="1" applyFont="1" applyFill="1" applyBorder="1" applyAlignment="1" applyProtection="1">
      <alignment horizontal="left" indent="1"/>
      <protection hidden="1"/>
    </xf>
    <xf numFmtId="38" fontId="9" fillId="18" borderId="0" xfId="10" quotePrefix="1" applyNumberFormat="1" applyFont="1" applyFill="1" applyAlignment="1" applyProtection="1">
      <alignment vertical="top"/>
      <protection hidden="1"/>
    </xf>
    <xf numFmtId="175" fontId="9" fillId="18" borderId="0" xfId="13" applyNumberFormat="1" applyFont="1" applyFill="1" applyBorder="1" applyAlignment="1" applyProtection="1">
      <protection hidden="1"/>
    </xf>
    <xf numFmtId="167" fontId="53" fillId="18" borderId="0" xfId="12" applyNumberFormat="1" applyFont="1" applyFill="1" applyAlignment="1" applyProtection="1">
      <alignment horizontal="left" vertical="center" indent="1"/>
      <protection hidden="1"/>
    </xf>
    <xf numFmtId="167" fontId="53" fillId="18" borderId="0" xfId="12" applyNumberFormat="1" applyFont="1" applyFill="1" applyAlignment="1" applyProtection="1">
      <alignment horizontal="center" vertical="center"/>
      <protection hidden="1"/>
    </xf>
    <xf numFmtId="164" fontId="27" fillId="18" borderId="0" xfId="13" applyNumberFormat="1" applyFont="1" applyFill="1" applyBorder="1" applyAlignment="1" applyProtection="1">
      <alignment horizontal="center"/>
      <protection hidden="1"/>
    </xf>
    <xf numFmtId="38" fontId="20" fillId="18" borderId="0" xfId="0" applyNumberFormat="1" applyFont="1" applyFill="1" applyAlignment="1" applyProtection="1">
      <alignment horizontal="center"/>
      <protection hidden="1"/>
    </xf>
    <xf numFmtId="167" fontId="21" fillId="18" borderId="0" xfId="12" applyNumberFormat="1" applyFont="1" applyFill="1" applyAlignment="1" applyProtection="1">
      <alignment horizontal="left" vertical="center"/>
      <protection hidden="1"/>
    </xf>
    <xf numFmtId="167" fontId="13" fillId="18" borderId="0" xfId="12" applyNumberFormat="1" applyFont="1" applyFill="1" applyAlignment="1" applyProtection="1">
      <alignment horizontal="left" vertical="center"/>
      <protection hidden="1"/>
    </xf>
    <xf numFmtId="0" fontId="27" fillId="18" borderId="0" xfId="13" applyNumberFormat="1" applyFont="1" applyFill="1" applyBorder="1" applyAlignment="1" applyProtection="1">
      <alignment horizontal="center"/>
      <protection hidden="1"/>
    </xf>
    <xf numFmtId="1" fontId="27" fillId="18" borderId="0" xfId="13" applyNumberFormat="1" applyFont="1" applyFill="1" applyBorder="1" applyAlignment="1" applyProtection="1">
      <alignment horizontal="center"/>
      <protection hidden="1"/>
    </xf>
    <xf numFmtId="164" fontId="9" fillId="18" borderId="0" xfId="10" applyNumberFormat="1" applyFont="1" applyFill="1" applyProtection="1">
      <protection hidden="1"/>
    </xf>
    <xf numFmtId="9" fontId="9" fillId="18" borderId="0" xfId="8" applyFont="1" applyFill="1" applyBorder="1" applyAlignment="1" applyProtection="1">
      <protection hidden="1"/>
    </xf>
    <xf numFmtId="165" fontId="30" fillId="21" borderId="9" xfId="0" applyNumberFormat="1" applyFont="1" applyFill="1" applyBorder="1" applyAlignment="1" applyProtection="1">
      <alignment horizontal="center"/>
      <protection hidden="1"/>
    </xf>
    <xf numFmtId="0" fontId="9" fillId="21" borderId="9" xfId="10" applyFont="1" applyFill="1" applyBorder="1" applyAlignment="1" applyProtection="1">
      <alignment horizontal="left"/>
      <protection hidden="1"/>
    </xf>
    <xf numFmtId="0" fontId="53" fillId="21" borderId="6" xfId="10" applyFont="1" applyFill="1" applyBorder="1" applyAlignment="1" applyProtection="1">
      <alignment horizontal="left" indent="1"/>
      <protection hidden="1"/>
    </xf>
    <xf numFmtId="0" fontId="13" fillId="21" borderId="9" xfId="5" applyFont="1" applyFill="1" applyBorder="1" applyProtection="1">
      <protection hidden="1"/>
    </xf>
    <xf numFmtId="165" fontId="30" fillId="21" borderId="0" xfId="0" applyNumberFormat="1" applyFont="1" applyFill="1" applyAlignment="1" applyProtection="1">
      <alignment horizontal="center"/>
      <protection hidden="1"/>
    </xf>
    <xf numFmtId="0" fontId="9" fillId="21" borderId="0" xfId="10" applyFont="1" applyFill="1" applyAlignment="1" applyProtection="1">
      <alignment horizontal="left"/>
      <protection hidden="1"/>
    </xf>
    <xf numFmtId="165" fontId="9" fillId="21" borderId="3" xfId="0" applyNumberFormat="1" applyFont="1" applyFill="1" applyBorder="1" applyAlignment="1" applyProtection="1">
      <alignment horizontal="left" indent="1"/>
      <protection hidden="1"/>
    </xf>
    <xf numFmtId="165" fontId="9" fillId="21" borderId="3" xfId="0" applyNumberFormat="1" applyFont="1" applyFill="1" applyBorder="1" applyAlignment="1" applyProtection="1">
      <alignment horizontal="left" vertical="center" indent="1"/>
      <protection hidden="1"/>
    </xf>
    <xf numFmtId="0" fontId="13" fillId="21" borderId="0" xfId="10" applyFont="1" applyFill="1" applyAlignment="1" applyProtection="1">
      <alignment vertical="center"/>
      <protection hidden="1"/>
    </xf>
    <xf numFmtId="0" fontId="53" fillId="21" borderId="3" xfId="10" applyFont="1" applyFill="1" applyBorder="1" applyAlignment="1" applyProtection="1">
      <alignment horizontal="left" indent="1"/>
      <protection hidden="1"/>
    </xf>
    <xf numFmtId="165" fontId="53" fillId="21" borderId="0" xfId="0" applyNumberFormat="1" applyFont="1" applyFill="1" applyProtection="1">
      <protection hidden="1"/>
    </xf>
    <xf numFmtId="169" fontId="30" fillId="21" borderId="12" xfId="10" applyNumberFormat="1" applyFont="1" applyFill="1" applyBorder="1" applyAlignment="1" applyProtection="1">
      <alignment horizontal="center"/>
      <protection hidden="1"/>
    </xf>
    <xf numFmtId="0" fontId="13" fillId="21" borderId="3" xfId="10" quotePrefix="1" applyFont="1" applyFill="1" applyBorder="1" applyAlignment="1" applyProtection="1">
      <alignment horizontal="left" indent="1"/>
      <protection hidden="1"/>
    </xf>
    <xf numFmtId="169" fontId="13" fillId="21" borderId="0" xfId="10" applyNumberFormat="1" applyFont="1" applyFill="1" applyAlignment="1" applyProtection="1">
      <alignment horizontal="center"/>
      <protection hidden="1"/>
    </xf>
    <xf numFmtId="0" fontId="13" fillId="21" borderId="3" xfId="5" applyFont="1" applyFill="1" applyBorder="1" applyProtection="1">
      <protection hidden="1"/>
    </xf>
    <xf numFmtId="0" fontId="13" fillId="21" borderId="2" xfId="10" applyFont="1" applyFill="1" applyBorder="1" applyAlignment="1" applyProtection="1">
      <alignment horizontal="center"/>
      <protection hidden="1"/>
    </xf>
    <xf numFmtId="0" fontId="13" fillId="21" borderId="2" xfId="10" applyFont="1" applyFill="1" applyBorder="1" applyProtection="1">
      <protection hidden="1"/>
    </xf>
    <xf numFmtId="0" fontId="13" fillId="21" borderId="7" xfId="5" applyFont="1" applyFill="1" applyBorder="1" applyProtection="1">
      <protection hidden="1"/>
    </xf>
    <xf numFmtId="0" fontId="36" fillId="21" borderId="2" xfId="5" applyFont="1" applyFill="1" applyBorder="1" applyAlignment="1" applyProtection="1">
      <alignment horizontal="left" vertical="center"/>
      <protection hidden="1"/>
    </xf>
    <xf numFmtId="165" fontId="9" fillId="18" borderId="0" xfId="0" applyNumberFormat="1" applyFont="1" applyFill="1" applyProtection="1">
      <protection hidden="1"/>
    </xf>
    <xf numFmtId="0" fontId="9" fillId="18" borderId="0" xfId="10" applyFont="1" applyFill="1" applyAlignment="1" applyProtection="1">
      <alignment horizontal="center"/>
      <protection hidden="1"/>
    </xf>
    <xf numFmtId="165" fontId="53" fillId="18" borderId="0" xfId="0" applyNumberFormat="1" applyFont="1" applyFill="1" applyAlignment="1" applyProtection="1">
      <alignment vertical="center"/>
      <protection hidden="1"/>
    </xf>
    <xf numFmtId="0" fontId="10" fillId="18" borderId="0" xfId="0" quotePrefix="1" applyFont="1" applyFill="1" applyProtection="1">
      <protection hidden="1"/>
    </xf>
    <xf numFmtId="0" fontId="10" fillId="18" borderId="0" xfId="0" quotePrefix="1" applyFont="1" applyFill="1" applyAlignment="1" applyProtection="1">
      <alignment horizontal="left"/>
      <protection hidden="1"/>
    </xf>
    <xf numFmtId="38" fontId="22" fillId="18" borderId="0" xfId="1" applyNumberFormat="1" applyFont="1" applyFill="1" applyProtection="1">
      <protection hidden="1"/>
    </xf>
    <xf numFmtId="0" fontId="78" fillId="18" borderId="0" xfId="0" applyFont="1" applyFill="1" applyProtection="1">
      <protection hidden="1"/>
    </xf>
    <xf numFmtId="0" fontId="79" fillId="4" borderId="33" xfId="0" applyFont="1" applyFill="1" applyBorder="1" applyAlignment="1" applyProtection="1">
      <alignment horizontal="left" indent="1"/>
      <protection hidden="1"/>
    </xf>
    <xf numFmtId="0" fontId="109" fillId="4" borderId="11" xfId="0" applyFont="1" applyFill="1" applyBorder="1" applyAlignment="1" applyProtection="1">
      <alignment horizontal="left" vertical="center" indent="2"/>
      <protection hidden="1"/>
    </xf>
    <xf numFmtId="0" fontId="0" fillId="4" borderId="11" xfId="0" applyFill="1" applyBorder="1" applyAlignment="1" applyProtection="1">
      <alignment horizontal="left" vertical="center" indent="7"/>
      <protection hidden="1"/>
    </xf>
    <xf numFmtId="0" fontId="0" fillId="4" borderId="11" xfId="0" applyFill="1" applyBorder="1" applyAlignment="1" applyProtection="1">
      <alignment horizontal="left" vertical="top" indent="7"/>
      <protection hidden="1"/>
    </xf>
    <xf numFmtId="0" fontId="79" fillId="4" borderId="11" xfId="0" applyFont="1" applyFill="1" applyBorder="1" applyAlignment="1" applyProtection="1">
      <alignment horizontal="left" indent="1"/>
      <protection hidden="1"/>
    </xf>
    <xf numFmtId="0" fontId="110" fillId="4" borderId="11" xfId="0" applyFont="1" applyFill="1" applyBorder="1" applyAlignment="1" applyProtection="1">
      <alignment horizontal="left" vertical="center" indent="2"/>
      <protection hidden="1"/>
    </xf>
    <xf numFmtId="0" fontId="19" fillId="4" borderId="11" xfId="0" applyFont="1" applyFill="1" applyBorder="1" applyAlignment="1" applyProtection="1">
      <alignment horizontal="center"/>
      <protection hidden="1"/>
    </xf>
    <xf numFmtId="0" fontId="36" fillId="4" borderId="11" xfId="0" applyFont="1" applyFill="1" applyBorder="1" applyAlignment="1" applyProtection="1">
      <alignment horizontal="center"/>
      <protection hidden="1"/>
    </xf>
    <xf numFmtId="0" fontId="112" fillId="4" borderId="11" xfId="0" applyFont="1" applyFill="1" applyBorder="1" applyAlignment="1" applyProtection="1">
      <alignment horizontal="center"/>
      <protection hidden="1"/>
    </xf>
    <xf numFmtId="0" fontId="77" fillId="18" borderId="0" xfId="0" applyFont="1" applyFill="1" applyProtection="1">
      <protection hidden="1"/>
    </xf>
    <xf numFmtId="38" fontId="9" fillId="21" borderId="6" xfId="4" applyNumberFormat="1" applyFont="1" applyFill="1" applyBorder="1" applyAlignment="1" applyProtection="1">
      <alignment horizontal="left" indent="1"/>
      <protection hidden="1"/>
    </xf>
    <xf numFmtId="38" fontId="9" fillId="21" borderId="9" xfId="1" applyNumberFormat="1" applyFont="1" applyFill="1" applyBorder="1" applyAlignment="1" applyProtection="1">
      <alignment horizontal="right"/>
      <protection hidden="1"/>
    </xf>
    <xf numFmtId="38" fontId="9" fillId="21" borderId="4" xfId="1" applyNumberFormat="1" applyFont="1" applyFill="1" applyBorder="1" applyAlignment="1" applyProtection="1">
      <alignment horizontal="right" indent="1"/>
      <protection hidden="1"/>
    </xf>
    <xf numFmtId="170" fontId="9" fillId="21" borderId="6" xfId="1" applyNumberFormat="1" applyFont="1" applyFill="1" applyBorder="1" applyAlignment="1" applyProtection="1">
      <alignment horizontal="left" indent="2"/>
      <protection hidden="1"/>
    </xf>
    <xf numFmtId="170" fontId="9" fillId="21" borderId="9" xfId="1" applyNumberFormat="1" applyFont="1" applyFill="1" applyBorder="1" applyAlignment="1" applyProtection="1">
      <alignment horizontal="right" indent="1"/>
      <protection hidden="1"/>
    </xf>
    <xf numFmtId="170" fontId="9" fillId="21" borderId="4" xfId="1" applyNumberFormat="1" applyFont="1" applyFill="1" applyBorder="1" applyAlignment="1" applyProtection="1">
      <alignment horizontal="right" indent="1"/>
      <protection hidden="1"/>
    </xf>
    <xf numFmtId="38" fontId="9" fillId="21" borderId="4" xfId="1" applyNumberFormat="1" applyFont="1" applyFill="1" applyBorder="1" applyProtection="1">
      <protection hidden="1"/>
    </xf>
    <xf numFmtId="164" fontId="9" fillId="21" borderId="27" xfId="8" applyNumberFormat="1" applyFont="1" applyFill="1" applyBorder="1" applyAlignment="1" applyProtection="1">
      <alignment horizontal="center"/>
      <protection hidden="1"/>
    </xf>
    <xf numFmtId="38" fontId="9" fillId="21" borderId="18" xfId="4" applyNumberFormat="1" applyFont="1" applyFill="1" applyBorder="1" applyAlignment="1" applyProtection="1">
      <alignment horizontal="left" indent="2"/>
      <protection hidden="1"/>
    </xf>
    <xf numFmtId="38" fontId="9" fillId="21" borderId="12" xfId="1" applyNumberFormat="1" applyFont="1" applyFill="1" applyBorder="1" applyAlignment="1" applyProtection="1">
      <alignment horizontal="right"/>
      <protection hidden="1"/>
    </xf>
    <xf numFmtId="38" fontId="9" fillId="21" borderId="15" xfId="1" applyNumberFormat="1" applyFont="1" applyFill="1" applyBorder="1" applyAlignment="1" applyProtection="1">
      <alignment horizontal="right" indent="1"/>
      <protection hidden="1"/>
    </xf>
    <xf numFmtId="170" fontId="9" fillId="21" borderId="3" xfId="1" applyNumberFormat="1" applyFont="1" applyFill="1" applyBorder="1" applyAlignment="1" applyProtection="1">
      <alignment horizontal="left" indent="2"/>
      <protection hidden="1"/>
    </xf>
    <xf numFmtId="170" fontId="9" fillId="21" borderId="0" xfId="1" applyNumberFormat="1" applyFont="1" applyFill="1" applyAlignment="1" applyProtection="1">
      <alignment horizontal="right" indent="1"/>
      <protection hidden="1"/>
    </xf>
    <xf numFmtId="170" fontId="9" fillId="21" borderId="5" xfId="1" applyNumberFormat="1" applyFont="1" applyFill="1" applyBorder="1" applyAlignment="1" applyProtection="1">
      <alignment horizontal="right" indent="1"/>
      <protection hidden="1"/>
    </xf>
    <xf numFmtId="38" fontId="9" fillId="21" borderId="5" xfId="1" applyNumberFormat="1" applyFont="1" applyFill="1" applyBorder="1" applyProtection="1">
      <protection hidden="1"/>
    </xf>
    <xf numFmtId="164" fontId="9" fillId="21" borderId="28" xfId="8" applyNumberFormat="1" applyFont="1" applyFill="1" applyBorder="1" applyAlignment="1" applyProtection="1">
      <alignment horizontal="center"/>
      <protection hidden="1"/>
    </xf>
    <xf numFmtId="38" fontId="9" fillId="21" borderId="3" xfId="4" applyNumberFormat="1" applyFont="1" applyFill="1" applyBorder="1" applyAlignment="1" applyProtection="1">
      <alignment horizontal="left" indent="1"/>
      <protection hidden="1"/>
    </xf>
    <xf numFmtId="38" fontId="9" fillId="21" borderId="0" xfId="1" applyNumberFormat="1" applyFont="1" applyFill="1" applyAlignment="1" applyProtection="1">
      <alignment horizontal="right"/>
      <protection hidden="1"/>
    </xf>
    <xf numFmtId="38" fontId="9" fillId="21" borderId="5" xfId="1" applyNumberFormat="1" applyFont="1" applyFill="1" applyBorder="1" applyAlignment="1" applyProtection="1">
      <alignment horizontal="right" indent="1"/>
      <protection hidden="1"/>
    </xf>
    <xf numFmtId="170" fontId="9" fillId="21" borderId="18" xfId="1" applyNumberFormat="1" applyFont="1" applyFill="1" applyBorder="1" applyAlignment="1" applyProtection="1">
      <alignment horizontal="left" indent="2"/>
      <protection hidden="1"/>
    </xf>
    <xf numFmtId="170" fontId="9" fillId="21" borderId="12" xfId="1" applyNumberFormat="1" applyFont="1" applyFill="1" applyBorder="1" applyAlignment="1" applyProtection="1">
      <alignment horizontal="right" indent="1"/>
      <protection hidden="1"/>
    </xf>
    <xf numFmtId="170" fontId="9" fillId="21" borderId="15" xfId="1" applyNumberFormat="1" applyFont="1" applyFill="1" applyBorder="1" applyAlignment="1" applyProtection="1">
      <alignment horizontal="right" indent="1"/>
      <protection hidden="1"/>
    </xf>
    <xf numFmtId="9" fontId="9" fillId="21" borderId="29" xfId="8" applyFont="1" applyFill="1" applyBorder="1" applyAlignment="1" applyProtection="1">
      <alignment horizontal="center"/>
      <protection hidden="1"/>
    </xf>
    <xf numFmtId="38" fontId="9" fillId="21" borderId="3" xfId="4" applyNumberFormat="1" applyFont="1" applyFill="1" applyBorder="1" applyAlignment="1" applyProtection="1">
      <alignment horizontal="left" indent="2"/>
      <protection hidden="1"/>
    </xf>
    <xf numFmtId="170" fontId="9" fillId="21" borderId="3" xfId="4" applyNumberFormat="1" applyFont="1" applyFill="1" applyBorder="1" applyAlignment="1" applyProtection="1">
      <alignment horizontal="left" indent="1"/>
      <protection hidden="1"/>
    </xf>
    <xf numFmtId="170" fontId="9" fillId="21" borderId="3" xfId="1" applyNumberFormat="1" applyFont="1" applyFill="1" applyBorder="1" applyAlignment="1" applyProtection="1">
      <alignment horizontal="left" indent="3"/>
      <protection hidden="1"/>
    </xf>
    <xf numFmtId="170" fontId="9" fillId="21" borderId="18" xfId="1" applyNumberFormat="1" applyFont="1" applyFill="1" applyBorder="1" applyAlignment="1" applyProtection="1">
      <alignment horizontal="left" indent="3"/>
      <protection hidden="1"/>
    </xf>
    <xf numFmtId="38" fontId="9" fillId="21" borderId="15" xfId="1" applyNumberFormat="1" applyFont="1" applyFill="1" applyBorder="1" applyProtection="1">
      <protection hidden="1"/>
    </xf>
    <xf numFmtId="170" fontId="9" fillId="21" borderId="18" xfId="4" applyNumberFormat="1" applyFont="1" applyFill="1" applyBorder="1" applyAlignment="1" applyProtection="1">
      <alignment horizontal="left" indent="1"/>
      <protection hidden="1"/>
    </xf>
    <xf numFmtId="170" fontId="9" fillId="21" borderId="3" xfId="4" applyNumberFormat="1" applyFont="1" applyFill="1" applyBorder="1" applyAlignment="1" applyProtection="1">
      <alignment horizontal="left" vertical="top" indent="1"/>
      <protection hidden="1"/>
    </xf>
    <xf numFmtId="170" fontId="9" fillId="21" borderId="0" xfId="1" applyNumberFormat="1" applyFont="1" applyFill="1" applyAlignment="1" applyProtection="1">
      <alignment horizontal="right" vertical="top" indent="1"/>
      <protection hidden="1"/>
    </xf>
    <xf numFmtId="170" fontId="9" fillId="21" borderId="18" xfId="4" applyNumberFormat="1" applyFont="1" applyFill="1" applyBorder="1" applyAlignment="1" applyProtection="1">
      <alignment horizontal="left" indent="2"/>
      <protection hidden="1"/>
    </xf>
    <xf numFmtId="38" fontId="9" fillId="21" borderId="7" xfId="4" applyNumberFormat="1" applyFont="1" applyFill="1" applyBorder="1" applyAlignment="1" applyProtection="1">
      <alignment horizontal="left" indent="2"/>
      <protection hidden="1"/>
    </xf>
    <xf numFmtId="38" fontId="9" fillId="21" borderId="2" xfId="1" applyNumberFormat="1" applyFont="1" applyFill="1" applyBorder="1" applyAlignment="1" applyProtection="1">
      <alignment horizontal="right"/>
      <protection hidden="1"/>
    </xf>
    <xf numFmtId="38" fontId="9" fillId="21" borderId="8" xfId="1" applyNumberFormat="1" applyFont="1" applyFill="1" applyBorder="1" applyAlignment="1" applyProtection="1">
      <alignment horizontal="right" indent="1"/>
      <protection hidden="1"/>
    </xf>
    <xf numFmtId="38" fontId="9" fillId="21" borderId="3" xfId="1" applyNumberFormat="1" applyFont="1" applyFill="1" applyBorder="1" applyAlignment="1" applyProtection="1">
      <alignment horizontal="left" indent="2"/>
      <protection hidden="1"/>
    </xf>
    <xf numFmtId="170" fontId="9" fillId="21" borderId="3" xfId="4" applyNumberFormat="1" applyFont="1" applyFill="1" applyBorder="1" applyAlignment="1" applyProtection="1">
      <alignment horizontal="left" indent="2"/>
      <protection hidden="1"/>
    </xf>
    <xf numFmtId="38" fontId="9" fillId="21" borderId="5" xfId="0" applyNumberFormat="1" applyFont="1" applyFill="1" applyBorder="1" applyProtection="1">
      <protection hidden="1"/>
    </xf>
    <xf numFmtId="170" fontId="9" fillId="21" borderId="7" xfId="0" applyNumberFormat="1" applyFont="1" applyFill="1" applyBorder="1" applyAlignment="1" applyProtection="1">
      <alignment horizontal="left" indent="1"/>
      <protection hidden="1"/>
    </xf>
    <xf numFmtId="170" fontId="9" fillId="21" borderId="2" xfId="1" applyNumberFormat="1" applyFont="1" applyFill="1" applyBorder="1" applyAlignment="1" applyProtection="1">
      <alignment horizontal="right" indent="1"/>
      <protection hidden="1"/>
    </xf>
    <xf numFmtId="167" fontId="61" fillId="21" borderId="8" xfId="1" applyNumberFormat="1" applyFont="1" applyFill="1" applyBorder="1" applyProtection="1">
      <protection hidden="1"/>
    </xf>
    <xf numFmtId="170" fontId="9" fillId="21" borderId="7" xfId="4" applyNumberFormat="1" applyFont="1" applyFill="1" applyBorder="1" applyAlignment="1" applyProtection="1">
      <alignment horizontal="left" indent="1"/>
      <protection hidden="1"/>
    </xf>
    <xf numFmtId="170" fontId="9" fillId="21" borderId="8" xfId="1" applyNumberFormat="1" applyFont="1" applyFill="1" applyBorder="1" applyAlignment="1" applyProtection="1">
      <alignment horizontal="right" indent="1"/>
      <protection hidden="1"/>
    </xf>
    <xf numFmtId="172" fontId="9" fillId="21" borderId="6" xfId="1" applyNumberFormat="1" applyFont="1" applyFill="1" applyBorder="1" applyAlignment="1" applyProtection="1">
      <alignment horizontal="right"/>
      <protection hidden="1"/>
    </xf>
    <xf numFmtId="184" fontId="9" fillId="21" borderId="27" xfId="1" applyNumberFormat="1" applyFont="1" applyFill="1" applyBorder="1" applyProtection="1">
      <protection hidden="1"/>
    </xf>
    <xf numFmtId="172" fontId="9" fillId="21" borderId="7" xfId="1" applyNumberFormat="1" applyFont="1" applyFill="1" applyBorder="1" applyAlignment="1" applyProtection="1">
      <alignment horizontal="right"/>
      <protection hidden="1"/>
    </xf>
    <xf numFmtId="172" fontId="9" fillId="21" borderId="3" xfId="1" applyNumberFormat="1" applyFont="1" applyFill="1" applyBorder="1" applyAlignment="1" applyProtection="1">
      <alignment horizontal="right"/>
      <protection hidden="1"/>
    </xf>
    <xf numFmtId="184" fontId="9" fillId="21" borderId="28" xfId="1" applyNumberFormat="1" applyFont="1" applyFill="1" applyBorder="1" applyProtection="1">
      <protection hidden="1"/>
    </xf>
    <xf numFmtId="183" fontId="9" fillId="21" borderId="29" xfId="8" applyNumberFormat="1" applyFont="1" applyFill="1" applyBorder="1" applyAlignment="1" applyProtection="1">
      <protection hidden="1"/>
    </xf>
    <xf numFmtId="172" fontId="9" fillId="21" borderId="13" xfId="1" applyNumberFormat="1" applyFont="1" applyFill="1" applyBorder="1" applyAlignment="1" applyProtection="1">
      <alignment horizontal="right"/>
      <protection hidden="1"/>
    </xf>
    <xf numFmtId="164" fontId="9" fillId="21" borderId="6" xfId="8" applyNumberFormat="1" applyFont="1" applyFill="1" applyBorder="1" applyAlignment="1" applyProtection="1">
      <alignment horizontal="right" vertical="center"/>
      <protection hidden="1"/>
    </xf>
    <xf numFmtId="0" fontId="9" fillId="21" borderId="9" xfId="5" applyFont="1" applyFill="1" applyBorder="1" applyAlignment="1" applyProtection="1">
      <alignment horizontal="right" vertical="center"/>
      <protection hidden="1"/>
    </xf>
    <xf numFmtId="3" fontId="9" fillId="21" borderId="4" xfId="0" applyNumberFormat="1" applyFont="1" applyFill="1" applyBorder="1" applyAlignment="1" applyProtection="1">
      <alignment horizontal="right" vertical="center" indent="1"/>
      <protection hidden="1"/>
    </xf>
    <xf numFmtId="164" fontId="9" fillId="21" borderId="6" xfId="8" applyNumberFormat="1" applyFont="1" applyFill="1" applyBorder="1" applyAlignment="1" applyProtection="1">
      <alignment vertical="center"/>
      <protection hidden="1"/>
    </xf>
    <xf numFmtId="170" fontId="9" fillId="21" borderId="9" xfId="5" applyNumberFormat="1" applyFont="1" applyFill="1" applyBorder="1" applyAlignment="1" applyProtection="1">
      <alignment horizontal="right" vertical="center"/>
      <protection hidden="1"/>
    </xf>
    <xf numFmtId="38" fontId="9" fillId="21" borderId="3" xfId="5" applyNumberFormat="1" applyFont="1" applyFill="1" applyBorder="1" applyAlignment="1" applyProtection="1">
      <alignment horizontal="right"/>
      <protection hidden="1"/>
    </xf>
    <xf numFmtId="0" fontId="9" fillId="21" borderId="0" xfId="5" applyFont="1" applyFill="1" applyAlignment="1" applyProtection="1">
      <alignment horizontal="right" vertical="center"/>
      <protection hidden="1"/>
    </xf>
    <xf numFmtId="171" fontId="9" fillId="21" borderId="5" xfId="5" applyNumberFormat="1" applyFont="1" applyFill="1" applyBorder="1" applyAlignment="1" applyProtection="1">
      <alignment horizontal="right" vertical="center" indent="1"/>
      <protection hidden="1"/>
    </xf>
    <xf numFmtId="164" fontId="9" fillId="21" borderId="3" xfId="8" applyNumberFormat="1" applyFont="1" applyFill="1" applyBorder="1" applyAlignment="1" applyProtection="1">
      <alignment vertical="center"/>
      <protection hidden="1"/>
    </xf>
    <xf numFmtId="170" fontId="9" fillId="21" borderId="0" xfId="5" applyNumberFormat="1" applyFont="1" applyFill="1" applyAlignment="1" applyProtection="1">
      <alignment horizontal="right" vertical="center"/>
      <protection hidden="1"/>
    </xf>
    <xf numFmtId="38" fontId="9" fillId="21" borderId="5" xfId="5" applyNumberFormat="1" applyFont="1" applyFill="1" applyBorder="1" applyProtection="1">
      <protection hidden="1"/>
    </xf>
    <xf numFmtId="38" fontId="9" fillId="21" borderId="18" xfId="1" applyNumberFormat="1" applyFont="1" applyFill="1" applyBorder="1" applyAlignment="1" applyProtection="1">
      <alignment horizontal="right"/>
      <protection hidden="1"/>
    </xf>
    <xf numFmtId="0" fontId="9" fillId="21" borderId="12" xfId="5" applyFont="1" applyFill="1" applyBorder="1" applyAlignment="1" applyProtection="1">
      <alignment horizontal="right" vertical="center"/>
      <protection hidden="1"/>
    </xf>
    <xf numFmtId="171" fontId="9" fillId="21" borderId="15" xfId="5" applyNumberFormat="1" applyFont="1" applyFill="1" applyBorder="1" applyAlignment="1" applyProtection="1">
      <alignment horizontal="right" vertical="center" indent="1"/>
      <protection hidden="1"/>
    </xf>
    <xf numFmtId="164" fontId="9" fillId="21" borderId="18" xfId="8" applyNumberFormat="1" applyFont="1" applyFill="1" applyBorder="1" applyAlignment="1" applyProtection="1">
      <alignment vertical="center"/>
      <protection hidden="1"/>
    </xf>
    <xf numFmtId="170" fontId="9" fillId="21" borderId="12" xfId="5" applyNumberFormat="1" applyFont="1" applyFill="1" applyBorder="1" applyAlignment="1" applyProtection="1">
      <alignment horizontal="right" vertical="center"/>
      <protection hidden="1"/>
    </xf>
    <xf numFmtId="38" fontId="9" fillId="21" borderId="15" xfId="1" applyNumberFormat="1" applyFont="1" applyFill="1" applyBorder="1" applyAlignment="1" applyProtection="1">
      <alignment horizontal="left"/>
      <protection hidden="1"/>
    </xf>
    <xf numFmtId="164" fontId="9" fillId="21" borderId="3" xfId="8" applyNumberFormat="1" applyFont="1" applyFill="1" applyBorder="1" applyAlignment="1" applyProtection="1">
      <alignment horizontal="right" vertical="center"/>
      <protection hidden="1"/>
    </xf>
    <xf numFmtId="3" fontId="9" fillId="21" borderId="5" xfId="0" applyNumberFormat="1" applyFont="1" applyFill="1" applyBorder="1" applyAlignment="1" applyProtection="1">
      <alignment horizontal="right" vertical="center" indent="1"/>
      <protection hidden="1"/>
    </xf>
    <xf numFmtId="169" fontId="9" fillId="21" borderId="0" xfId="5" applyNumberFormat="1" applyFont="1" applyFill="1" applyAlignment="1" applyProtection="1">
      <alignment horizontal="right" vertical="center"/>
      <protection hidden="1"/>
    </xf>
    <xf numFmtId="38" fontId="9" fillId="21" borderId="3" xfId="5" quotePrefix="1" applyNumberFormat="1" applyFont="1" applyFill="1" applyBorder="1" applyAlignment="1" applyProtection="1">
      <alignment horizontal="right"/>
      <protection hidden="1"/>
    </xf>
    <xf numFmtId="169" fontId="9" fillId="21" borderId="12" xfId="5" applyNumberFormat="1" applyFont="1" applyFill="1" applyBorder="1" applyAlignment="1" applyProtection="1">
      <alignment horizontal="right" vertical="center"/>
      <protection hidden="1"/>
    </xf>
    <xf numFmtId="38" fontId="31" fillId="21" borderId="15" xfId="5" applyNumberFormat="1" applyFont="1" applyFill="1" applyBorder="1" applyProtection="1">
      <protection hidden="1"/>
    </xf>
    <xf numFmtId="164" fontId="9" fillId="21" borderId="7" xfId="8" applyNumberFormat="1" applyFont="1" applyFill="1" applyBorder="1" applyAlignment="1" applyProtection="1">
      <alignment horizontal="right" vertical="center"/>
      <protection hidden="1"/>
    </xf>
    <xf numFmtId="169" fontId="9" fillId="21" borderId="2" xfId="5" applyNumberFormat="1" applyFont="1" applyFill="1" applyBorder="1" applyAlignment="1" applyProtection="1">
      <alignment horizontal="right" vertical="center"/>
      <protection hidden="1"/>
    </xf>
    <xf numFmtId="171" fontId="9" fillId="21" borderId="8" xfId="5" applyNumberFormat="1" applyFont="1" applyFill="1" applyBorder="1" applyAlignment="1" applyProtection="1">
      <alignment horizontal="right" vertical="center" indent="1"/>
      <protection hidden="1"/>
    </xf>
    <xf numFmtId="164" fontId="9" fillId="21" borderId="7" xfId="8" applyNumberFormat="1" applyFont="1" applyFill="1" applyBorder="1" applyAlignment="1" applyProtection="1">
      <alignment vertical="center"/>
      <protection hidden="1"/>
    </xf>
    <xf numFmtId="170" fontId="9" fillId="21" borderId="2" xfId="5" applyNumberFormat="1" applyFont="1" applyFill="1" applyBorder="1" applyAlignment="1" applyProtection="1">
      <alignment horizontal="right" vertical="center"/>
      <protection hidden="1"/>
    </xf>
    <xf numFmtId="38" fontId="9" fillId="21" borderId="8" xfId="5" applyNumberFormat="1" applyFont="1" applyFill="1" applyBorder="1" applyProtection="1">
      <protection hidden="1"/>
    </xf>
    <xf numFmtId="38" fontId="31" fillId="21" borderId="5" xfId="5" applyNumberFormat="1" applyFont="1" applyFill="1" applyBorder="1" applyProtection="1">
      <protection hidden="1"/>
    </xf>
    <xf numFmtId="38" fontId="9" fillId="21" borderId="5" xfId="1" applyNumberFormat="1" applyFont="1" applyFill="1" applyBorder="1" applyAlignment="1" applyProtection="1">
      <alignment horizontal="left"/>
      <protection hidden="1"/>
    </xf>
    <xf numFmtId="3" fontId="9" fillId="21" borderId="15" xfId="0" applyNumberFormat="1" applyFont="1" applyFill="1" applyBorder="1" applyAlignment="1" applyProtection="1">
      <alignment horizontal="right" vertical="center" indent="1"/>
      <protection hidden="1"/>
    </xf>
    <xf numFmtId="38" fontId="41" fillId="21" borderId="15" xfId="5" applyNumberFormat="1" applyFont="1" applyFill="1" applyBorder="1" applyProtection="1">
      <protection hidden="1"/>
    </xf>
    <xf numFmtId="3" fontId="9" fillId="21" borderId="20" xfId="5" applyNumberFormat="1" applyFont="1" applyFill="1" applyBorder="1" applyAlignment="1" applyProtection="1">
      <alignment horizontal="right" vertical="center" indent="1"/>
      <protection hidden="1"/>
    </xf>
    <xf numFmtId="3" fontId="9" fillId="21" borderId="20" xfId="0" applyNumberFormat="1" applyFont="1" applyFill="1" applyBorder="1" applyAlignment="1" applyProtection="1">
      <alignment horizontal="right" vertical="center" indent="1"/>
      <protection hidden="1"/>
    </xf>
    <xf numFmtId="38" fontId="9" fillId="21" borderId="3" xfId="1" applyNumberFormat="1" applyFont="1" applyFill="1" applyBorder="1" applyAlignment="1" applyProtection="1">
      <alignment horizontal="right"/>
      <protection hidden="1"/>
    </xf>
    <xf numFmtId="38" fontId="9" fillId="21" borderId="18" xfId="5" applyNumberFormat="1" applyFont="1" applyFill="1" applyBorder="1" applyProtection="1">
      <protection hidden="1"/>
    </xf>
    <xf numFmtId="38" fontId="9" fillId="21" borderId="7" xfId="5" applyNumberFormat="1" applyFont="1" applyFill="1" applyBorder="1" applyProtection="1">
      <protection hidden="1"/>
    </xf>
    <xf numFmtId="3" fontId="9" fillId="21" borderId="8" xfId="0" applyNumberFormat="1" applyFont="1" applyFill="1" applyBorder="1" applyAlignment="1" applyProtection="1">
      <alignment horizontal="right" vertical="center" indent="1"/>
      <protection hidden="1"/>
    </xf>
    <xf numFmtId="38" fontId="9" fillId="21" borderId="8" xfId="1" applyNumberFormat="1" applyFont="1" applyFill="1" applyBorder="1" applyAlignment="1" applyProtection="1">
      <alignment horizontal="left"/>
      <protection hidden="1"/>
    </xf>
    <xf numFmtId="164" fontId="9" fillId="21" borderId="6" xfId="8" applyNumberFormat="1" applyFont="1" applyFill="1" applyBorder="1" applyAlignment="1" applyProtection="1">
      <alignment horizontal="center"/>
      <protection hidden="1"/>
    </xf>
    <xf numFmtId="0" fontId="9" fillId="21" borderId="9" xfId="5" applyFont="1" applyFill="1" applyBorder="1" applyAlignment="1" applyProtection="1">
      <alignment horizontal="center"/>
      <protection hidden="1"/>
    </xf>
    <xf numFmtId="170" fontId="9" fillId="21" borderId="9" xfId="5" applyNumberFormat="1" applyFont="1" applyFill="1" applyBorder="1" applyAlignment="1" applyProtection="1">
      <alignment horizontal="right"/>
      <protection hidden="1"/>
    </xf>
    <xf numFmtId="164" fontId="9" fillId="21" borderId="4" xfId="8" applyNumberFormat="1" applyFont="1" applyFill="1" applyBorder="1" applyAlignment="1" applyProtection="1">
      <alignment horizontal="center" vertical="center"/>
      <protection hidden="1"/>
    </xf>
    <xf numFmtId="170" fontId="9" fillId="21" borderId="9" xfId="5" applyNumberFormat="1" applyFont="1" applyFill="1" applyBorder="1" applyAlignment="1" applyProtection="1">
      <alignment horizontal="center"/>
      <protection hidden="1"/>
    </xf>
    <xf numFmtId="164" fontId="9" fillId="21" borderId="3" xfId="8" applyNumberFormat="1" applyFont="1" applyFill="1" applyBorder="1" applyAlignment="1" applyProtection="1">
      <alignment horizontal="left" indent="1"/>
      <protection hidden="1"/>
    </xf>
    <xf numFmtId="169" fontId="9" fillId="21" borderId="0" xfId="5" applyNumberFormat="1" applyFont="1" applyFill="1" applyAlignment="1" applyProtection="1">
      <alignment horizontal="center"/>
      <protection hidden="1"/>
    </xf>
    <xf numFmtId="170" fontId="9" fillId="21" borderId="0" xfId="5" applyNumberFormat="1" applyFont="1" applyFill="1" applyAlignment="1" applyProtection="1">
      <alignment horizontal="right"/>
      <protection hidden="1"/>
    </xf>
    <xf numFmtId="170" fontId="9" fillId="21" borderId="5" xfId="5" applyNumberFormat="1" applyFont="1" applyFill="1" applyBorder="1" applyAlignment="1" applyProtection="1">
      <alignment horizontal="center"/>
      <protection hidden="1"/>
    </xf>
    <xf numFmtId="38" fontId="9" fillId="21" borderId="3" xfId="5" applyNumberFormat="1" applyFont="1" applyFill="1" applyBorder="1" applyAlignment="1" applyProtection="1">
      <alignment horizontal="center"/>
      <protection hidden="1"/>
    </xf>
    <xf numFmtId="170" fontId="9" fillId="21" borderId="0" xfId="1" applyNumberFormat="1" applyFont="1" applyFill="1" applyAlignment="1" applyProtection="1">
      <alignment horizontal="center"/>
      <protection hidden="1"/>
    </xf>
    <xf numFmtId="164" fontId="9" fillId="21" borderId="18" xfId="8" applyNumberFormat="1" applyFont="1" applyFill="1" applyBorder="1" applyAlignment="1" applyProtection="1">
      <alignment horizontal="left" indent="1"/>
      <protection hidden="1"/>
    </xf>
    <xf numFmtId="169" fontId="9" fillId="21" borderId="12" xfId="5" applyNumberFormat="1" applyFont="1" applyFill="1" applyBorder="1" applyAlignment="1" applyProtection="1">
      <alignment horizontal="center"/>
      <protection hidden="1"/>
    </xf>
    <xf numFmtId="170" fontId="9" fillId="21" borderId="12" xfId="5" applyNumberFormat="1" applyFont="1" applyFill="1" applyBorder="1" applyAlignment="1" applyProtection="1">
      <alignment horizontal="right"/>
      <protection hidden="1"/>
    </xf>
    <xf numFmtId="38" fontId="9" fillId="21" borderId="15" xfId="1" applyNumberFormat="1" applyFont="1" applyFill="1" applyBorder="1" applyAlignment="1" applyProtection="1">
      <alignment horizontal="center"/>
      <protection hidden="1"/>
    </xf>
    <xf numFmtId="38" fontId="9" fillId="21" borderId="18" xfId="1" applyNumberFormat="1" applyFont="1" applyFill="1" applyBorder="1" applyAlignment="1" applyProtection="1">
      <alignment horizontal="center"/>
      <protection hidden="1"/>
    </xf>
    <xf numFmtId="170" fontId="9" fillId="21" borderId="12" xfId="1" applyNumberFormat="1" applyFont="1" applyFill="1" applyBorder="1" applyAlignment="1" applyProtection="1">
      <alignment horizontal="center"/>
      <protection hidden="1"/>
    </xf>
    <xf numFmtId="164" fontId="9" fillId="21" borderId="19" xfId="8" applyNumberFormat="1" applyFont="1" applyFill="1" applyBorder="1" applyAlignment="1" applyProtection="1">
      <alignment horizontal="center"/>
      <protection hidden="1"/>
    </xf>
    <xf numFmtId="0" fontId="9" fillId="21" borderId="16" xfId="5" applyFont="1" applyFill="1" applyBorder="1" applyAlignment="1" applyProtection="1">
      <alignment horizontal="center"/>
      <protection hidden="1"/>
    </xf>
    <xf numFmtId="170" fontId="9" fillId="21" borderId="16" xfId="5" applyNumberFormat="1" applyFont="1" applyFill="1" applyBorder="1" applyAlignment="1" applyProtection="1">
      <alignment horizontal="right"/>
      <protection hidden="1"/>
    </xf>
    <xf numFmtId="164" fontId="9" fillId="21" borderId="20" xfId="8" applyNumberFormat="1" applyFont="1" applyFill="1" applyBorder="1" applyAlignment="1" applyProtection="1">
      <alignment horizontal="center" vertical="center"/>
      <protection hidden="1"/>
    </xf>
    <xf numFmtId="170" fontId="9" fillId="21" borderId="16" xfId="5" applyNumberFormat="1" applyFont="1" applyFill="1" applyBorder="1" applyAlignment="1" applyProtection="1">
      <alignment horizontal="center"/>
      <protection hidden="1"/>
    </xf>
    <xf numFmtId="164" fontId="9" fillId="21" borderId="7" xfId="8" applyNumberFormat="1" applyFont="1" applyFill="1" applyBorder="1" applyAlignment="1" applyProtection="1">
      <alignment horizontal="left" indent="1"/>
      <protection hidden="1"/>
    </xf>
    <xf numFmtId="169" fontId="9" fillId="21" borderId="2" xfId="5" applyNumberFormat="1" applyFont="1" applyFill="1" applyBorder="1" applyAlignment="1" applyProtection="1">
      <alignment horizontal="center"/>
      <protection hidden="1"/>
    </xf>
    <xf numFmtId="170" fontId="9" fillId="21" borderId="2" xfId="5" applyNumberFormat="1" applyFont="1" applyFill="1" applyBorder="1" applyAlignment="1" applyProtection="1">
      <alignment horizontal="right"/>
      <protection hidden="1"/>
    </xf>
    <xf numFmtId="38" fontId="9" fillId="21" borderId="8" xfId="1" applyNumberFormat="1" applyFont="1" applyFill="1" applyBorder="1" applyAlignment="1" applyProtection="1">
      <alignment horizontal="center"/>
      <protection hidden="1"/>
    </xf>
    <xf numFmtId="170" fontId="9" fillId="21" borderId="2" xfId="1" applyNumberFormat="1" applyFont="1" applyFill="1" applyBorder="1" applyAlignment="1" applyProtection="1">
      <alignment horizontal="center"/>
      <protection hidden="1"/>
    </xf>
    <xf numFmtId="170" fontId="9" fillId="21" borderId="27" xfId="0" applyNumberFormat="1" applyFont="1" applyFill="1" applyBorder="1" applyAlignment="1" applyProtection="1">
      <alignment horizontal="centerContinuous"/>
      <protection hidden="1"/>
    </xf>
    <xf numFmtId="170" fontId="9" fillId="21" borderId="29" xfId="0" applyNumberFormat="1" applyFont="1" applyFill="1" applyBorder="1" applyAlignment="1" applyProtection="1">
      <alignment horizontal="centerContinuous"/>
      <protection hidden="1"/>
    </xf>
    <xf numFmtId="170" fontId="9" fillId="21" borderId="6" xfId="5" applyNumberFormat="1" applyFont="1" applyFill="1" applyBorder="1" applyAlignment="1" applyProtection="1">
      <alignment horizontal="center"/>
      <protection hidden="1"/>
    </xf>
    <xf numFmtId="170" fontId="9" fillId="21" borderId="9" xfId="0" applyNumberFormat="1" applyFont="1" applyFill="1" applyBorder="1" applyAlignment="1" applyProtection="1">
      <alignment horizontal="left" indent="1"/>
      <protection hidden="1"/>
    </xf>
    <xf numFmtId="170" fontId="9" fillId="21" borderId="9" xfId="0" applyNumberFormat="1" applyFont="1" applyFill="1" applyBorder="1" applyAlignment="1" applyProtection="1">
      <alignment horizontal="center"/>
      <protection hidden="1"/>
    </xf>
    <xf numFmtId="170" fontId="9" fillId="21" borderId="4" xfId="0" applyNumberFormat="1" applyFont="1" applyFill="1" applyBorder="1" applyAlignment="1" applyProtection="1">
      <alignment horizontal="right" indent="1"/>
      <protection hidden="1"/>
    </xf>
    <xf numFmtId="170" fontId="9" fillId="21" borderId="4" xfId="0" applyNumberFormat="1" applyFont="1" applyFill="1" applyBorder="1" applyAlignment="1" applyProtection="1">
      <alignment horizontal="left" indent="1"/>
      <protection hidden="1"/>
    </xf>
    <xf numFmtId="164" fontId="9" fillId="21" borderId="27" xfId="8" applyNumberFormat="1" applyFont="1" applyFill="1" applyBorder="1" applyAlignment="1" applyProtection="1">
      <alignment horizontal="center" vertical="top"/>
      <protection hidden="1"/>
    </xf>
    <xf numFmtId="170" fontId="9" fillId="21" borderId="3" xfId="5" applyNumberFormat="1" applyFont="1" applyFill="1" applyBorder="1" applyAlignment="1" applyProtection="1">
      <alignment horizontal="center"/>
      <protection hidden="1"/>
    </xf>
    <xf numFmtId="170" fontId="9" fillId="21" borderId="0" xfId="0" applyNumberFormat="1" applyFont="1" applyFill="1" applyAlignment="1" applyProtection="1">
      <alignment horizontal="left" indent="1"/>
      <protection hidden="1"/>
    </xf>
    <xf numFmtId="170" fontId="9" fillId="21" borderId="0" xfId="0" applyNumberFormat="1" applyFont="1" applyFill="1" applyAlignment="1" applyProtection="1">
      <alignment horizontal="center"/>
      <protection hidden="1"/>
    </xf>
    <xf numFmtId="170" fontId="9" fillId="21" borderId="5" xfId="0" applyNumberFormat="1" applyFont="1" applyFill="1" applyBorder="1" applyAlignment="1" applyProtection="1">
      <alignment horizontal="right" indent="1"/>
      <protection hidden="1"/>
    </xf>
    <xf numFmtId="170" fontId="9" fillId="21" borderId="5" xfId="0" applyNumberFormat="1" applyFont="1" applyFill="1" applyBorder="1" applyAlignment="1" applyProtection="1">
      <alignment horizontal="left" indent="1"/>
      <protection hidden="1"/>
    </xf>
    <xf numFmtId="9" fontId="9" fillId="21" borderId="28" xfId="8" applyFont="1" applyFill="1" applyBorder="1" applyAlignment="1" applyProtection="1">
      <alignment horizontal="center" vertical="center"/>
      <protection hidden="1"/>
    </xf>
    <xf numFmtId="9" fontId="9" fillId="21" borderId="29" xfId="8" applyFont="1" applyFill="1" applyBorder="1" applyAlignment="1" applyProtection="1">
      <alignment horizontal="center" vertical="center"/>
      <protection hidden="1"/>
    </xf>
    <xf numFmtId="170" fontId="9" fillId="21" borderId="12" xfId="0" applyNumberFormat="1" applyFont="1" applyFill="1" applyBorder="1" applyAlignment="1" applyProtection="1">
      <alignment horizontal="left" indent="1"/>
      <protection hidden="1"/>
    </xf>
    <xf numFmtId="170" fontId="9" fillId="21" borderId="12" xfId="0" applyNumberFormat="1" applyFont="1" applyFill="1" applyBorder="1" applyAlignment="1" applyProtection="1">
      <alignment horizontal="center"/>
      <protection hidden="1"/>
    </xf>
    <xf numFmtId="170" fontId="9" fillId="21" borderId="15" xfId="0" applyNumberFormat="1" applyFont="1" applyFill="1" applyBorder="1" applyAlignment="1" applyProtection="1">
      <alignment horizontal="right" indent="1"/>
      <protection hidden="1"/>
    </xf>
    <xf numFmtId="170" fontId="38" fillId="21" borderId="0" xfId="0" applyNumberFormat="1" applyFont="1" applyFill="1" applyAlignment="1" applyProtection="1">
      <alignment horizontal="left" indent="6"/>
      <protection hidden="1"/>
    </xf>
    <xf numFmtId="0" fontId="38" fillId="21" borderId="0" xfId="0" applyFont="1" applyFill="1" applyAlignment="1" applyProtection="1">
      <alignment horizontal="left" indent="6"/>
      <protection hidden="1"/>
    </xf>
    <xf numFmtId="170" fontId="9" fillId="21" borderId="15" xfId="0" applyNumberFormat="1" applyFont="1" applyFill="1" applyBorder="1" applyAlignment="1" applyProtection="1">
      <alignment horizontal="left" indent="1"/>
      <protection hidden="1"/>
    </xf>
    <xf numFmtId="170" fontId="9" fillId="21" borderId="7" xfId="5" applyNumberFormat="1" applyFont="1" applyFill="1" applyBorder="1" applyAlignment="1" applyProtection="1">
      <alignment horizontal="center"/>
      <protection hidden="1"/>
    </xf>
    <xf numFmtId="0" fontId="9" fillId="21" borderId="2" xfId="5" applyFont="1" applyFill="1" applyBorder="1" applyAlignment="1" applyProtection="1">
      <alignment horizontal="left" indent="6"/>
      <protection hidden="1"/>
    </xf>
    <xf numFmtId="170" fontId="9" fillId="21" borderId="8" xfId="0" applyNumberFormat="1" applyFont="1" applyFill="1" applyBorder="1" applyAlignment="1" applyProtection="1">
      <alignment horizontal="right" indent="1"/>
      <protection hidden="1"/>
    </xf>
    <xf numFmtId="0" fontId="38" fillId="21" borderId="0" xfId="0" applyFont="1" applyFill="1" applyAlignment="1" applyProtection="1">
      <alignment horizontal="left" indent="2"/>
      <protection hidden="1"/>
    </xf>
    <xf numFmtId="0" fontId="38" fillId="21" borderId="0" xfId="0" applyFont="1" applyFill="1" applyAlignment="1" applyProtection="1">
      <alignment horizontal="left" indent="1"/>
      <protection hidden="1"/>
    </xf>
    <xf numFmtId="38" fontId="9" fillId="21" borderId="7" xfId="5" applyNumberFormat="1" applyFont="1" applyFill="1" applyBorder="1" applyAlignment="1" applyProtection="1">
      <alignment horizontal="center"/>
      <protection hidden="1"/>
    </xf>
    <xf numFmtId="170" fontId="9" fillId="21" borderId="2" xfId="0" applyNumberFormat="1" applyFont="1" applyFill="1" applyBorder="1" applyAlignment="1" applyProtection="1">
      <alignment horizontal="left" indent="1"/>
      <protection hidden="1"/>
    </xf>
    <xf numFmtId="0" fontId="9" fillId="21" borderId="2" xfId="5" applyFont="1" applyFill="1" applyBorder="1" applyAlignment="1" applyProtection="1">
      <alignment horizontal="left" indent="2"/>
      <protection hidden="1"/>
    </xf>
    <xf numFmtId="170" fontId="9" fillId="21" borderId="2" xfId="0" applyNumberFormat="1" applyFont="1" applyFill="1" applyBorder="1" applyAlignment="1" applyProtection="1">
      <alignment horizontal="center"/>
      <protection hidden="1"/>
    </xf>
    <xf numFmtId="0" fontId="9" fillId="21" borderId="2" xfId="5" applyFont="1" applyFill="1" applyBorder="1" applyAlignment="1" applyProtection="1">
      <alignment horizontal="left" indent="1"/>
      <protection hidden="1"/>
    </xf>
    <xf numFmtId="170" fontId="9" fillId="21" borderId="8" xfId="0" applyNumberFormat="1" applyFont="1" applyFill="1" applyBorder="1" applyAlignment="1" applyProtection="1">
      <alignment horizontal="left" indent="1"/>
      <protection hidden="1"/>
    </xf>
    <xf numFmtId="170" fontId="96" fillId="21" borderId="5" xfId="5" applyNumberFormat="1" applyFont="1" applyFill="1" applyBorder="1" applyAlignment="1" applyProtection="1">
      <alignment horizontal="right" indent="1"/>
      <protection hidden="1"/>
    </xf>
    <xf numFmtId="170" fontId="9" fillId="21" borderId="15" xfId="5" applyNumberFormat="1" applyFont="1" applyFill="1" applyBorder="1" applyAlignment="1" applyProtection="1">
      <alignment horizontal="right" indent="1"/>
      <protection hidden="1"/>
    </xf>
    <xf numFmtId="164" fontId="9" fillId="21" borderId="5" xfId="8" applyNumberFormat="1" applyFont="1" applyFill="1" applyBorder="1" applyAlignment="1" applyProtection="1">
      <alignment horizontal="right" indent="1"/>
      <protection hidden="1"/>
    </xf>
    <xf numFmtId="164" fontId="96" fillId="21" borderId="5" xfId="8" applyNumberFormat="1" applyFont="1" applyFill="1" applyBorder="1" applyAlignment="1" applyProtection="1">
      <alignment horizontal="right" indent="1"/>
      <protection hidden="1"/>
    </xf>
    <xf numFmtId="189" fontId="9" fillId="21" borderId="8" xfId="8" applyNumberFormat="1" applyFont="1" applyFill="1" applyBorder="1" applyAlignment="1" applyProtection="1">
      <alignment horizontal="right" indent="1"/>
      <protection hidden="1"/>
    </xf>
    <xf numFmtId="167" fontId="9" fillId="21" borderId="9" xfId="12" applyNumberFormat="1" applyFont="1" applyFill="1" applyBorder="1" applyAlignment="1" applyProtection="1">
      <alignment horizontal="center"/>
      <protection hidden="1"/>
    </xf>
    <xf numFmtId="167" fontId="11" fillId="21" borderId="9" xfId="12" applyNumberFormat="1" applyFont="1" applyFill="1" applyBorder="1" applyAlignment="1" applyProtection="1">
      <alignment horizontal="center"/>
      <protection hidden="1"/>
    </xf>
    <xf numFmtId="167" fontId="9" fillId="21" borderId="22" xfId="12" applyNumberFormat="1" applyFont="1" applyFill="1" applyBorder="1" applyAlignment="1" applyProtection="1">
      <alignment horizontal="center"/>
      <protection hidden="1"/>
    </xf>
    <xf numFmtId="164" fontId="9" fillId="21" borderId="4" xfId="13" applyNumberFormat="1" applyFont="1" applyFill="1" applyBorder="1" applyAlignment="1" applyProtection="1">
      <alignment vertical="center"/>
      <protection hidden="1"/>
    </xf>
    <xf numFmtId="167" fontId="9" fillId="21" borderId="22" xfId="12" applyNumberFormat="1" applyFont="1" applyFill="1" applyBorder="1" applyAlignment="1" applyProtection="1">
      <alignment horizontal="center" vertical="top"/>
      <protection hidden="1"/>
    </xf>
    <xf numFmtId="164" fontId="9" fillId="21" borderId="2" xfId="13" applyNumberFormat="1" applyFont="1" applyFill="1" applyBorder="1" applyAlignment="1" applyProtection="1">
      <alignment horizontal="center" vertical="center"/>
      <protection hidden="1"/>
    </xf>
    <xf numFmtId="164" fontId="9" fillId="21" borderId="8" xfId="13" applyNumberFormat="1" applyFont="1" applyFill="1" applyBorder="1" applyAlignment="1" applyProtection="1">
      <alignment vertical="center"/>
      <protection hidden="1"/>
    </xf>
    <xf numFmtId="185" fontId="9" fillId="21" borderId="27" xfId="10" applyNumberFormat="1" applyFont="1" applyFill="1" applyBorder="1" applyAlignment="1" applyProtection="1">
      <alignment horizontal="center"/>
      <protection hidden="1"/>
    </xf>
    <xf numFmtId="164" fontId="9" fillId="21" borderId="28" xfId="10" applyNumberFormat="1" applyFont="1" applyFill="1" applyBorder="1" applyAlignment="1" applyProtection="1">
      <alignment horizontal="center"/>
      <protection hidden="1"/>
    </xf>
    <xf numFmtId="164" fontId="9" fillId="21" borderId="29" xfId="10" applyNumberFormat="1" applyFont="1" applyFill="1" applyBorder="1" applyAlignment="1" applyProtection="1">
      <alignment horizontal="center"/>
      <protection hidden="1"/>
    </xf>
    <xf numFmtId="175" fontId="9" fillId="21" borderId="1" xfId="13" applyNumberFormat="1" applyFont="1" applyFill="1" applyBorder="1" applyAlignment="1" applyProtection="1">
      <alignment horizontal="center"/>
      <protection hidden="1"/>
    </xf>
    <xf numFmtId="164" fontId="9" fillId="21" borderId="27" xfId="8" applyNumberFormat="1" applyFont="1" applyFill="1" applyBorder="1" applyAlignment="1" applyProtection="1">
      <protection hidden="1"/>
    </xf>
    <xf numFmtId="169" fontId="9" fillId="21" borderId="24" xfId="10" applyNumberFormat="1" applyFont="1" applyFill="1" applyBorder="1" applyAlignment="1" applyProtection="1">
      <alignment horizontal="center"/>
      <protection hidden="1"/>
    </xf>
    <xf numFmtId="3" fontId="9" fillId="21" borderId="9" xfId="10" applyNumberFormat="1" applyFont="1" applyFill="1" applyBorder="1" applyAlignment="1" applyProtection="1">
      <alignment horizontal="center"/>
      <protection hidden="1"/>
    </xf>
    <xf numFmtId="3" fontId="9" fillId="21" borderId="9" xfId="0" applyNumberFormat="1" applyFont="1" applyFill="1" applyBorder="1" applyAlignment="1" applyProtection="1">
      <alignment horizontal="center"/>
      <protection hidden="1"/>
    </xf>
    <xf numFmtId="167" fontId="9" fillId="21" borderId="4" xfId="0" applyNumberFormat="1" applyFont="1" applyFill="1" applyBorder="1" applyAlignment="1" applyProtection="1">
      <alignment horizontal="center"/>
      <protection hidden="1"/>
    </xf>
    <xf numFmtId="170" fontId="9" fillId="21" borderId="30" xfId="5" applyNumberFormat="1" applyFont="1" applyFill="1" applyBorder="1" applyAlignment="1" applyProtection="1">
      <alignment horizontal="right" indent="1"/>
      <protection hidden="1"/>
    </xf>
    <xf numFmtId="0" fontId="13" fillId="21" borderId="9" xfId="5" applyFont="1" applyFill="1" applyBorder="1" applyAlignment="1" applyProtection="1">
      <alignment horizontal="right"/>
      <protection hidden="1"/>
    </xf>
    <xf numFmtId="0" fontId="28" fillId="21" borderId="9" xfId="10" applyFont="1" applyFill="1" applyBorder="1" applyAlignment="1" applyProtection="1">
      <alignment horizontal="right"/>
      <protection hidden="1"/>
    </xf>
    <xf numFmtId="0" fontId="28" fillId="21" borderId="9" xfId="10" applyFont="1" applyFill="1" applyBorder="1" applyAlignment="1" applyProtection="1">
      <alignment horizontal="right" indent="1"/>
      <protection hidden="1"/>
    </xf>
    <xf numFmtId="3" fontId="13" fillId="21" borderId="24" xfId="0" applyNumberFormat="1" applyFont="1" applyFill="1" applyBorder="1" applyAlignment="1" applyProtection="1">
      <alignment horizontal="right" indent="1"/>
      <protection hidden="1"/>
    </xf>
    <xf numFmtId="0" fontId="28" fillId="21" borderId="4" xfId="10" applyFont="1" applyFill="1" applyBorder="1" applyAlignment="1" applyProtection="1">
      <alignment horizontal="right" indent="1"/>
      <protection hidden="1"/>
    </xf>
    <xf numFmtId="164" fontId="9" fillId="21" borderId="29" xfId="8" applyNumberFormat="1" applyFont="1" applyFill="1" applyBorder="1" applyAlignment="1" applyProtection="1">
      <protection hidden="1"/>
    </xf>
    <xf numFmtId="169" fontId="9" fillId="21" borderId="17" xfId="10" applyNumberFormat="1" applyFont="1" applyFill="1" applyBorder="1" applyAlignment="1" applyProtection="1">
      <alignment horizontal="center"/>
      <protection hidden="1"/>
    </xf>
    <xf numFmtId="3" fontId="9" fillId="21" borderId="0" xfId="10" applyNumberFormat="1" applyFont="1" applyFill="1" applyAlignment="1" applyProtection="1">
      <alignment horizontal="center"/>
      <protection hidden="1"/>
    </xf>
    <xf numFmtId="3" fontId="13" fillId="21" borderId="0" xfId="10" applyNumberFormat="1" applyFont="1" applyFill="1" applyAlignment="1" applyProtection="1">
      <alignment horizontal="center"/>
      <protection hidden="1"/>
    </xf>
    <xf numFmtId="3" fontId="13" fillId="21" borderId="5" xfId="10" applyNumberFormat="1" applyFont="1" applyFill="1" applyBorder="1" applyAlignment="1" applyProtection="1">
      <alignment horizontal="center"/>
      <protection hidden="1"/>
    </xf>
    <xf numFmtId="170" fontId="9" fillId="21" borderId="23" xfId="0" applyNumberFormat="1" applyFont="1" applyFill="1" applyBorder="1" applyAlignment="1" applyProtection="1">
      <alignment horizontal="right" indent="1"/>
      <protection hidden="1"/>
    </xf>
    <xf numFmtId="3" fontId="13" fillId="21" borderId="0" xfId="0" applyNumberFormat="1" applyFont="1" applyFill="1" applyAlignment="1" applyProtection="1">
      <alignment horizontal="right"/>
      <protection hidden="1"/>
    </xf>
    <xf numFmtId="3" fontId="13" fillId="21" borderId="0" xfId="0" applyNumberFormat="1" applyFont="1" applyFill="1" applyAlignment="1" applyProtection="1">
      <alignment horizontal="right" indent="1"/>
      <protection hidden="1"/>
    </xf>
    <xf numFmtId="3" fontId="13" fillId="21" borderId="17" xfId="0" applyNumberFormat="1" applyFont="1" applyFill="1" applyBorder="1" applyAlignment="1" applyProtection="1">
      <alignment horizontal="right" indent="1"/>
      <protection hidden="1"/>
    </xf>
    <xf numFmtId="3" fontId="13" fillId="21" borderId="5" xfId="0" applyNumberFormat="1" applyFont="1" applyFill="1" applyBorder="1" applyAlignment="1" applyProtection="1">
      <alignment horizontal="right" indent="1"/>
      <protection hidden="1"/>
    </xf>
    <xf numFmtId="173" fontId="96" fillId="21" borderId="23" xfId="5" applyNumberFormat="1" applyFont="1" applyFill="1" applyBorder="1" applyAlignment="1" applyProtection="1">
      <alignment horizontal="right" vertical="center" indent="1"/>
      <protection hidden="1"/>
    </xf>
    <xf numFmtId="170" fontId="9" fillId="21" borderId="31" xfId="5" applyNumberFormat="1" applyFont="1" applyFill="1" applyBorder="1" applyAlignment="1" applyProtection="1">
      <alignment horizontal="right" indent="1"/>
      <protection hidden="1"/>
    </xf>
    <xf numFmtId="3" fontId="13" fillId="21" borderId="5" xfId="0" applyNumberFormat="1" applyFont="1" applyFill="1" applyBorder="1" applyAlignment="1" applyProtection="1">
      <alignment horizontal="right" vertical="center" indent="1"/>
      <protection hidden="1"/>
    </xf>
    <xf numFmtId="3" fontId="9" fillId="21" borderId="0" xfId="0" applyNumberFormat="1" applyFont="1" applyFill="1" applyAlignment="1" applyProtection="1">
      <alignment horizontal="center"/>
      <protection hidden="1"/>
    </xf>
    <xf numFmtId="3" fontId="13" fillId="21" borderId="0" xfId="0" applyNumberFormat="1" applyFont="1" applyFill="1" applyAlignment="1" applyProtection="1">
      <alignment horizontal="right" vertical="center"/>
      <protection hidden="1"/>
    </xf>
    <xf numFmtId="3" fontId="13" fillId="21" borderId="0" xfId="0" applyNumberFormat="1" applyFont="1" applyFill="1" applyAlignment="1" applyProtection="1">
      <alignment horizontal="right" vertical="center" indent="1"/>
      <protection hidden="1"/>
    </xf>
    <xf numFmtId="3" fontId="13" fillId="21" borderId="17" xfId="0" applyNumberFormat="1" applyFont="1" applyFill="1" applyBorder="1" applyAlignment="1" applyProtection="1">
      <alignment horizontal="right" vertical="center" indent="1"/>
      <protection hidden="1"/>
    </xf>
    <xf numFmtId="0" fontId="13" fillId="21" borderId="0" xfId="5" applyFont="1" applyFill="1" applyAlignment="1" applyProtection="1">
      <alignment horizontal="right"/>
      <protection hidden="1"/>
    </xf>
    <xf numFmtId="168" fontId="13" fillId="21" borderId="0" xfId="0" applyNumberFormat="1" applyFont="1" applyFill="1" applyAlignment="1" applyProtection="1">
      <alignment horizontal="right" vertical="center" indent="1"/>
      <protection hidden="1"/>
    </xf>
    <xf numFmtId="168" fontId="13" fillId="21" borderId="17" xfId="0" applyNumberFormat="1" applyFont="1" applyFill="1" applyBorder="1" applyAlignment="1" applyProtection="1">
      <alignment horizontal="right" vertical="center" indent="1"/>
      <protection hidden="1"/>
    </xf>
    <xf numFmtId="165" fontId="13" fillId="21" borderId="0" xfId="0" applyNumberFormat="1" applyFont="1" applyFill="1" applyAlignment="1" applyProtection="1">
      <alignment horizontal="right"/>
      <protection hidden="1"/>
    </xf>
    <xf numFmtId="165" fontId="13" fillId="21" borderId="0" xfId="0" applyNumberFormat="1" applyFont="1" applyFill="1" applyAlignment="1" applyProtection="1">
      <alignment horizontal="right" vertical="top"/>
      <protection hidden="1"/>
    </xf>
    <xf numFmtId="165" fontId="31" fillId="21" borderId="0" xfId="0" applyNumberFormat="1" applyFont="1" applyFill="1" applyAlignment="1" applyProtection="1">
      <alignment horizontal="right" vertical="top"/>
      <protection hidden="1"/>
    </xf>
    <xf numFmtId="165" fontId="31" fillId="21" borderId="0" xfId="0" applyNumberFormat="1" applyFont="1" applyFill="1" applyAlignment="1" applyProtection="1">
      <alignment horizontal="right" vertical="top" indent="1"/>
      <protection hidden="1"/>
    </xf>
    <xf numFmtId="165" fontId="31" fillId="21" borderId="17" xfId="0" applyNumberFormat="1" applyFont="1" applyFill="1" applyBorder="1" applyAlignment="1" applyProtection="1">
      <alignment horizontal="right" vertical="top" indent="1"/>
      <protection hidden="1"/>
    </xf>
    <xf numFmtId="165" fontId="31" fillId="21" borderId="5" xfId="0" applyNumberFormat="1" applyFont="1" applyFill="1" applyBorder="1" applyAlignment="1" applyProtection="1">
      <alignment horizontal="right" vertical="top" indent="1"/>
      <protection hidden="1"/>
    </xf>
    <xf numFmtId="1" fontId="9" fillId="21" borderId="2" xfId="10" applyNumberFormat="1" applyFont="1" applyFill="1" applyBorder="1" applyAlignment="1" applyProtection="1">
      <alignment horizontal="center"/>
      <protection hidden="1"/>
    </xf>
    <xf numFmtId="169" fontId="9" fillId="21" borderId="17" xfId="10" applyNumberFormat="1" applyFont="1" applyFill="1" applyBorder="1" applyAlignment="1" applyProtection="1">
      <alignment horizontal="center" vertical="center"/>
      <protection hidden="1"/>
    </xf>
    <xf numFmtId="3" fontId="9" fillId="21" borderId="4" xfId="10" applyNumberFormat="1" applyFont="1" applyFill="1" applyBorder="1" applyAlignment="1" applyProtection="1">
      <alignment horizontal="center"/>
      <protection hidden="1"/>
    </xf>
    <xf numFmtId="3" fontId="13" fillId="21" borderId="0" xfId="10" applyNumberFormat="1" applyFont="1" applyFill="1" applyAlignment="1" applyProtection="1">
      <alignment horizontal="center" vertical="center"/>
      <protection hidden="1"/>
    </xf>
    <xf numFmtId="3" fontId="13" fillId="21" borderId="5" xfId="10" applyNumberFormat="1" applyFont="1" applyFill="1" applyBorder="1" applyAlignment="1" applyProtection="1">
      <alignment horizontal="center" vertical="center"/>
      <protection hidden="1"/>
    </xf>
    <xf numFmtId="0" fontId="12" fillId="21" borderId="0" xfId="5" applyFont="1" applyFill="1" applyAlignment="1" applyProtection="1">
      <alignment horizontal="right"/>
      <protection hidden="1"/>
    </xf>
    <xf numFmtId="0" fontId="13" fillId="21" borderId="0" xfId="10" applyFont="1" applyFill="1" applyAlignment="1" applyProtection="1">
      <alignment horizontal="right"/>
      <protection hidden="1"/>
    </xf>
    <xf numFmtId="0" fontId="12" fillId="21" borderId="0" xfId="10" applyFont="1" applyFill="1" applyAlignment="1" applyProtection="1">
      <alignment horizontal="right" indent="1"/>
      <protection hidden="1"/>
    </xf>
    <xf numFmtId="0" fontId="12" fillId="21" borderId="17" xfId="10" applyFont="1" applyFill="1" applyBorder="1" applyAlignment="1" applyProtection="1">
      <alignment horizontal="right" indent="1"/>
      <protection hidden="1"/>
    </xf>
    <xf numFmtId="0" fontId="13" fillId="21" borderId="5" xfId="10" applyFont="1" applyFill="1" applyBorder="1" applyAlignment="1" applyProtection="1">
      <alignment horizontal="right" indent="1"/>
      <protection hidden="1"/>
    </xf>
    <xf numFmtId="164" fontId="9" fillId="21" borderId="0" xfId="10" applyNumberFormat="1" applyFont="1" applyFill="1" applyAlignment="1" applyProtection="1">
      <alignment horizontal="center"/>
      <protection hidden="1"/>
    </xf>
    <xf numFmtId="169" fontId="9" fillId="21" borderId="17" xfId="10" applyNumberFormat="1" applyFont="1" applyFill="1" applyBorder="1" applyAlignment="1" applyProtection="1">
      <alignment horizontal="center" vertical="top"/>
      <protection hidden="1"/>
    </xf>
    <xf numFmtId="3" fontId="9" fillId="21" borderId="8" xfId="10" applyNumberFormat="1" applyFont="1" applyFill="1" applyBorder="1" applyAlignment="1" applyProtection="1">
      <alignment horizontal="center" vertical="top"/>
      <protection hidden="1"/>
    </xf>
    <xf numFmtId="167" fontId="13" fillId="21" borderId="0" xfId="0" applyNumberFormat="1" applyFont="1" applyFill="1" applyAlignment="1" applyProtection="1">
      <alignment horizontal="right"/>
      <protection hidden="1"/>
    </xf>
    <xf numFmtId="167" fontId="14" fillId="21" borderId="0" xfId="0" applyNumberFormat="1" applyFont="1" applyFill="1" applyAlignment="1" applyProtection="1">
      <alignment horizontal="right" indent="1"/>
      <protection hidden="1"/>
    </xf>
    <xf numFmtId="167" fontId="14" fillId="21" borderId="17" xfId="0" applyNumberFormat="1" applyFont="1" applyFill="1" applyBorder="1" applyAlignment="1" applyProtection="1">
      <alignment horizontal="right" indent="1"/>
      <protection hidden="1"/>
    </xf>
    <xf numFmtId="3" fontId="14" fillId="21" borderId="0" xfId="0" applyNumberFormat="1" applyFont="1" applyFill="1" applyAlignment="1" applyProtection="1">
      <alignment horizontal="right"/>
      <protection hidden="1"/>
    </xf>
    <xf numFmtId="167" fontId="13" fillId="21" borderId="5" xfId="0" applyNumberFormat="1" applyFont="1" applyFill="1" applyBorder="1" applyAlignment="1" applyProtection="1">
      <alignment horizontal="right" indent="1"/>
      <protection hidden="1"/>
    </xf>
    <xf numFmtId="0" fontId="13" fillId="21" borderId="32" xfId="10" applyFont="1" applyFill="1" applyBorder="1" applyAlignment="1" applyProtection="1">
      <alignment horizontal="center"/>
      <protection hidden="1"/>
    </xf>
    <xf numFmtId="0" fontId="13" fillId="21" borderId="8" xfId="10" applyFont="1" applyFill="1" applyBorder="1" applyAlignment="1" applyProtection="1">
      <alignment horizontal="center"/>
      <protection hidden="1"/>
    </xf>
    <xf numFmtId="0" fontId="13" fillId="21" borderId="2" xfId="5" applyFont="1" applyFill="1" applyBorder="1" applyAlignment="1" applyProtection="1">
      <alignment horizontal="right"/>
      <protection hidden="1"/>
    </xf>
    <xf numFmtId="0" fontId="13" fillId="21" borderId="32" xfId="5" applyFont="1" applyFill="1" applyBorder="1" applyAlignment="1" applyProtection="1">
      <alignment horizontal="right"/>
      <protection hidden="1"/>
    </xf>
    <xf numFmtId="0" fontId="13" fillId="21" borderId="8" xfId="5" applyFont="1" applyFill="1" applyBorder="1" applyAlignment="1" applyProtection="1">
      <alignment horizontal="right" indent="1"/>
      <protection hidden="1"/>
    </xf>
    <xf numFmtId="167" fontId="10" fillId="18" borderId="33" xfId="0" applyNumberFormat="1" applyFont="1" applyFill="1" applyBorder="1" applyAlignment="1" applyProtection="1">
      <alignment horizontal="center" vertical="center"/>
      <protection hidden="1"/>
    </xf>
    <xf numFmtId="167" fontId="9" fillId="18" borderId="6" xfId="1" applyNumberFormat="1" applyFont="1" applyFill="1" applyBorder="1" applyAlignment="1" applyProtection="1">
      <alignment vertical="center"/>
      <protection hidden="1"/>
    </xf>
    <xf numFmtId="182" fontId="9" fillId="18" borderId="9" xfId="1" applyNumberFormat="1" applyFont="1" applyFill="1" applyBorder="1" applyAlignment="1" applyProtection="1">
      <alignment vertical="center"/>
      <protection hidden="1"/>
    </xf>
    <xf numFmtId="164" fontId="10" fillId="18" borderId="4" xfId="8" applyNumberFormat="1" applyFont="1" applyFill="1" applyBorder="1" applyAlignment="1" applyProtection="1">
      <alignment horizontal="center" vertical="center"/>
      <protection hidden="1"/>
    </xf>
    <xf numFmtId="180" fontId="9" fillId="18" borderId="6" xfId="1" applyNumberFormat="1" applyFont="1" applyFill="1" applyBorder="1" applyAlignment="1" applyProtection="1">
      <alignment vertical="center"/>
      <protection hidden="1"/>
    </xf>
    <xf numFmtId="181" fontId="9" fillId="18" borderId="9" xfId="1" applyNumberFormat="1" applyFont="1" applyFill="1" applyBorder="1" applyAlignment="1" applyProtection="1">
      <alignment horizontal="right" vertical="center"/>
      <protection hidden="1"/>
    </xf>
    <xf numFmtId="164" fontId="10" fillId="18" borderId="33" xfId="8" applyNumberFormat="1" applyFont="1" applyFill="1" applyBorder="1" applyAlignment="1" applyProtection="1">
      <alignment horizontal="center" vertical="center"/>
      <protection hidden="1"/>
    </xf>
    <xf numFmtId="176" fontId="9" fillId="21" borderId="27" xfId="0" applyNumberFormat="1" applyFont="1" applyFill="1" applyBorder="1" applyAlignment="1" applyProtection="1">
      <alignment horizontal="right"/>
      <protection hidden="1"/>
    </xf>
    <xf numFmtId="167" fontId="10" fillId="18" borderId="11" xfId="0" applyNumberFormat="1" applyFont="1" applyFill="1" applyBorder="1" applyAlignment="1" applyProtection="1">
      <alignment horizontal="center" vertical="center"/>
      <protection hidden="1"/>
    </xf>
    <xf numFmtId="167" fontId="9" fillId="18" borderId="3" xfId="1" applyNumberFormat="1" applyFont="1" applyFill="1" applyBorder="1" applyAlignment="1" applyProtection="1">
      <alignment vertical="center"/>
      <protection hidden="1"/>
    </xf>
    <xf numFmtId="182" fontId="9" fillId="18" borderId="0" xfId="1" applyNumberFormat="1" applyFont="1" applyFill="1" applyAlignment="1" applyProtection="1">
      <alignment vertical="center"/>
      <protection hidden="1"/>
    </xf>
    <xf numFmtId="164" fontId="10" fillId="18" borderId="5" xfId="8" applyNumberFormat="1" applyFont="1" applyFill="1" applyBorder="1" applyAlignment="1" applyProtection="1">
      <alignment horizontal="center" vertical="center"/>
      <protection hidden="1"/>
    </xf>
    <xf numFmtId="180" fontId="9" fillId="18" borderId="3" xfId="1" applyNumberFormat="1" applyFont="1" applyFill="1" applyBorder="1" applyAlignment="1" applyProtection="1">
      <alignment horizontal="right" vertical="center"/>
      <protection hidden="1"/>
    </xf>
    <xf numFmtId="186" fontId="9" fillId="18" borderId="0" xfId="1" applyNumberFormat="1" applyFont="1" applyFill="1" applyAlignment="1" applyProtection="1">
      <alignment horizontal="right" vertical="center"/>
      <protection hidden="1"/>
    </xf>
    <xf numFmtId="187" fontId="9" fillId="18" borderId="0" xfId="1" applyNumberFormat="1" applyFont="1" applyFill="1" applyAlignment="1" applyProtection="1">
      <alignment vertical="center"/>
      <protection hidden="1"/>
    </xf>
    <xf numFmtId="164" fontId="10" fillId="18" borderId="11" xfId="8" applyNumberFormat="1" applyFont="1" applyFill="1" applyBorder="1" applyAlignment="1" applyProtection="1">
      <alignment horizontal="center" vertical="center"/>
      <protection hidden="1"/>
    </xf>
    <xf numFmtId="176" fontId="9" fillId="21" borderId="28" xfId="0" applyNumberFormat="1" applyFont="1" applyFill="1" applyBorder="1" applyAlignment="1" applyProtection="1">
      <alignment horizontal="right"/>
      <protection hidden="1"/>
    </xf>
    <xf numFmtId="167" fontId="10" fillId="18" borderId="11" xfId="0" applyNumberFormat="1" applyFont="1" applyFill="1" applyBorder="1" applyAlignment="1" applyProtection="1">
      <alignment vertical="center"/>
      <protection hidden="1"/>
    </xf>
    <xf numFmtId="188" fontId="9" fillId="21" borderId="1" xfId="1" applyNumberFormat="1" applyFont="1" applyFill="1" applyBorder="1" applyAlignment="1" applyProtection="1">
      <alignment horizontal="center"/>
      <protection hidden="1"/>
    </xf>
    <xf numFmtId="177" fontId="9" fillId="21" borderId="28" xfId="13" applyNumberFormat="1" applyFont="1" applyFill="1" applyBorder="1" applyAlignment="1" applyProtection="1">
      <protection hidden="1"/>
    </xf>
    <xf numFmtId="178" fontId="9" fillId="21" borderId="28" xfId="1" applyNumberFormat="1" applyFont="1" applyFill="1" applyBorder="1" applyAlignment="1" applyProtection="1">
      <alignment horizontal="right"/>
      <protection hidden="1"/>
    </xf>
    <xf numFmtId="177" fontId="10" fillId="21" borderId="28" xfId="13" applyNumberFormat="1" applyFont="1" applyFill="1" applyBorder="1" applyAlignment="1" applyProtection="1">
      <alignment horizontal="right"/>
      <protection hidden="1"/>
    </xf>
    <xf numFmtId="178" fontId="9" fillId="21" borderId="29" xfId="1" applyNumberFormat="1" applyFont="1" applyFill="1" applyBorder="1" applyAlignment="1" applyProtection="1">
      <alignment horizontal="right"/>
      <protection hidden="1"/>
    </xf>
    <xf numFmtId="175" fontId="9" fillId="21" borderId="1" xfId="8" applyNumberFormat="1" applyFont="1" applyFill="1" applyBorder="1" applyAlignment="1" applyProtection="1">
      <alignment horizontal="center" vertical="top"/>
      <protection hidden="1"/>
    </xf>
    <xf numFmtId="167" fontId="10" fillId="18" borderId="10" xfId="0" applyNumberFormat="1" applyFont="1" applyFill="1" applyBorder="1" applyAlignment="1" applyProtection="1">
      <alignment horizontal="center" vertical="center"/>
      <protection hidden="1"/>
    </xf>
    <xf numFmtId="167" fontId="9" fillId="18" borderId="7" xfId="1" applyNumberFormat="1" applyFont="1" applyFill="1" applyBorder="1" applyAlignment="1" applyProtection="1">
      <alignment vertical="center"/>
      <protection hidden="1"/>
    </xf>
    <xf numFmtId="182" fontId="9" fillId="18" borderId="2" xfId="1" applyNumberFormat="1" applyFont="1" applyFill="1" applyBorder="1" applyAlignment="1" applyProtection="1">
      <alignment vertical="center"/>
      <protection hidden="1"/>
    </xf>
    <xf numFmtId="164" fontId="10" fillId="18" borderId="8" xfId="8" applyNumberFormat="1" applyFont="1" applyFill="1" applyBorder="1" applyAlignment="1" applyProtection="1">
      <alignment horizontal="center" vertical="center"/>
      <protection hidden="1"/>
    </xf>
    <xf numFmtId="180" fontId="9" fillId="18" borderId="7" xfId="1" applyNumberFormat="1" applyFont="1" applyFill="1" applyBorder="1" applyAlignment="1" applyProtection="1">
      <alignment horizontal="right" vertical="center"/>
      <protection hidden="1"/>
    </xf>
    <xf numFmtId="186" fontId="9" fillId="18" borderId="2" xfId="1" applyNumberFormat="1" applyFont="1" applyFill="1" applyBorder="1" applyAlignment="1" applyProtection="1">
      <alignment horizontal="right" vertical="center"/>
      <protection hidden="1"/>
    </xf>
    <xf numFmtId="187" fontId="9" fillId="18" borderId="2" xfId="1" applyNumberFormat="1" applyFont="1" applyFill="1" applyBorder="1" applyAlignment="1" applyProtection="1">
      <alignment vertical="center"/>
      <protection hidden="1"/>
    </xf>
    <xf numFmtId="164" fontId="10" fillId="18" borderId="10" xfId="8" applyNumberFormat="1" applyFont="1" applyFill="1" applyBorder="1" applyAlignment="1" applyProtection="1">
      <alignment horizontal="center" vertical="center"/>
      <protection hidden="1"/>
    </xf>
    <xf numFmtId="0" fontId="13" fillId="4" borderId="11" xfId="0" applyFont="1" applyFill="1" applyBorder="1" applyAlignment="1" applyProtection="1">
      <alignment horizontal="left" vertical="center" indent="2"/>
      <protection hidden="1"/>
    </xf>
    <xf numFmtId="0" fontId="116" fillId="18" borderId="0" xfId="0" applyFont="1" applyFill="1" applyAlignment="1" applyProtection="1">
      <alignment horizontal="center" vertical="center"/>
      <protection hidden="1"/>
    </xf>
    <xf numFmtId="0" fontId="118" fillId="18" borderId="0" xfId="0" applyFont="1" applyFill="1" applyAlignment="1" applyProtection="1">
      <alignment horizontal="center" vertical="center"/>
      <protection hidden="1"/>
    </xf>
    <xf numFmtId="0" fontId="26" fillId="20" borderId="13" xfId="0" applyFont="1" applyFill="1" applyBorder="1" applyAlignment="1" applyProtection="1">
      <alignment horizontal="center" vertical="center"/>
      <protection hidden="1"/>
    </xf>
    <xf numFmtId="0" fontId="26" fillId="20" borderId="34" xfId="0" applyFont="1" applyFill="1" applyBorder="1" applyAlignment="1" applyProtection="1">
      <alignment horizontal="center" vertical="center"/>
      <protection hidden="1"/>
    </xf>
    <xf numFmtId="0" fontId="26" fillId="10" borderId="13" xfId="0" applyFont="1" applyFill="1" applyBorder="1" applyAlignment="1" applyProtection="1">
      <alignment horizontal="center" vertical="center"/>
      <protection hidden="1"/>
    </xf>
    <xf numFmtId="0" fontId="26" fillId="10" borderId="14" xfId="0" applyFont="1" applyFill="1" applyBorder="1" applyAlignment="1" applyProtection="1">
      <alignment horizontal="center" vertical="center"/>
      <protection hidden="1"/>
    </xf>
    <xf numFmtId="170" fontId="9" fillId="21" borderId="2" xfId="5" applyNumberFormat="1" applyFont="1" applyFill="1" applyBorder="1" applyAlignment="1" applyProtection="1">
      <alignment horizontal="right" vertical="center" indent="1"/>
      <protection hidden="1"/>
    </xf>
    <xf numFmtId="170" fontId="9" fillId="21" borderId="0" xfId="5" applyNumberFormat="1" applyFont="1" applyFill="1" applyAlignment="1" applyProtection="1">
      <alignment horizontal="right" vertical="center" indent="1"/>
      <protection hidden="1"/>
    </xf>
    <xf numFmtId="170" fontId="9" fillId="21" borderId="12" xfId="5" applyNumberFormat="1" applyFont="1" applyFill="1" applyBorder="1" applyAlignment="1" applyProtection="1">
      <alignment horizontal="right" vertical="center" indent="1"/>
      <protection hidden="1"/>
    </xf>
    <xf numFmtId="169" fontId="11" fillId="18" borderId="0" xfId="5" applyNumberFormat="1" applyFont="1" applyFill="1" applyAlignment="1" applyProtection="1">
      <alignment horizontal="left" vertical="top"/>
      <protection hidden="1"/>
    </xf>
    <xf numFmtId="170" fontId="9" fillId="21" borderId="9" xfId="5" applyNumberFormat="1" applyFont="1" applyFill="1" applyBorder="1" applyAlignment="1" applyProtection="1">
      <alignment horizontal="right" vertical="center" indent="1"/>
      <protection hidden="1"/>
    </xf>
    <xf numFmtId="38" fontId="9" fillId="21" borderId="0" xfId="5" applyNumberFormat="1" applyFont="1" applyFill="1" applyAlignment="1" applyProtection="1">
      <alignment horizontal="left"/>
      <protection hidden="1"/>
    </xf>
    <xf numFmtId="169" fontId="11" fillId="18" borderId="0" xfId="5" applyNumberFormat="1" applyFont="1" applyFill="1" applyAlignment="1" applyProtection="1">
      <alignment horizontal="center" vertical="top"/>
      <protection hidden="1"/>
    </xf>
    <xf numFmtId="38" fontId="9" fillId="21" borderId="2" xfId="5" applyNumberFormat="1" applyFont="1" applyFill="1" applyBorder="1" applyAlignment="1" applyProtection="1">
      <alignment horizontal="left"/>
      <protection hidden="1"/>
    </xf>
    <xf numFmtId="38" fontId="9" fillId="21" borderId="12" xfId="5" applyNumberFormat="1" applyFont="1" applyFill="1" applyBorder="1" applyAlignment="1" applyProtection="1">
      <alignment horizontal="left"/>
      <protection hidden="1"/>
    </xf>
    <xf numFmtId="38" fontId="100" fillId="18" borderId="0" xfId="5" applyNumberFormat="1" applyFont="1" applyFill="1" applyAlignment="1" applyProtection="1">
      <alignment wrapText="1"/>
      <protection hidden="1"/>
    </xf>
    <xf numFmtId="38" fontId="9" fillId="18" borderId="2" xfId="5" applyNumberFormat="1" applyFont="1" applyFill="1" applyBorder="1" applyAlignment="1" applyProtection="1">
      <alignment horizontal="center"/>
      <protection hidden="1"/>
    </xf>
    <xf numFmtId="38" fontId="13" fillId="18" borderId="9" xfId="5" applyNumberFormat="1" applyFont="1" applyFill="1" applyBorder="1" applyAlignment="1" applyProtection="1">
      <alignment horizontal="center" vertical="top"/>
      <protection hidden="1"/>
    </xf>
    <xf numFmtId="165" fontId="32" fillId="18" borderId="0" xfId="5" quotePrefix="1" applyNumberFormat="1" applyFont="1" applyFill="1" applyAlignment="1" applyProtection="1">
      <alignment horizontal="left"/>
      <protection hidden="1"/>
    </xf>
    <xf numFmtId="165" fontId="22" fillId="18" borderId="0" xfId="5" applyNumberFormat="1" applyFont="1" applyFill="1" applyAlignment="1" applyProtection="1">
      <alignment horizontal="left" vertical="center"/>
      <protection hidden="1"/>
    </xf>
    <xf numFmtId="165" fontId="13" fillId="18" borderId="0" xfId="5" applyNumberFormat="1" applyFont="1" applyFill="1" applyAlignment="1" applyProtection="1">
      <alignment horizontal="left"/>
      <protection hidden="1"/>
    </xf>
    <xf numFmtId="38" fontId="9" fillId="21" borderId="16" xfId="5" applyNumberFormat="1" applyFont="1" applyFill="1" applyBorder="1" applyProtection="1">
      <protection hidden="1"/>
    </xf>
    <xf numFmtId="38" fontId="9" fillId="21" borderId="9" xfId="5" applyNumberFormat="1" applyFont="1" applyFill="1" applyBorder="1" applyAlignment="1" applyProtection="1">
      <alignment horizontal="center"/>
      <protection hidden="1"/>
    </xf>
    <xf numFmtId="38" fontId="9" fillId="21" borderId="16" xfId="5" applyNumberFormat="1" applyFont="1" applyFill="1" applyBorder="1" applyAlignment="1" applyProtection="1">
      <alignment horizontal="left"/>
      <protection hidden="1"/>
    </xf>
    <xf numFmtId="38" fontId="9" fillId="21" borderId="0" xfId="5" applyNumberFormat="1" applyFont="1" applyFill="1" applyProtection="1">
      <protection hidden="1"/>
    </xf>
    <xf numFmtId="170" fontId="11" fillId="21" borderId="12" xfId="5" applyNumberFormat="1" applyFont="1" applyFill="1" applyBorder="1" applyAlignment="1" applyProtection="1">
      <alignment horizontal="right" vertical="center" indent="1"/>
      <protection hidden="1"/>
    </xf>
    <xf numFmtId="169" fontId="11" fillId="18" borderId="0" xfId="5" applyNumberFormat="1" applyFont="1" applyFill="1" applyAlignment="1" applyProtection="1">
      <alignment horizontal="center"/>
      <protection hidden="1"/>
    </xf>
    <xf numFmtId="169" fontId="11" fillId="18" borderId="0" xfId="5" applyNumberFormat="1" applyFont="1" applyFill="1" applyAlignment="1" applyProtection="1">
      <alignment horizontal="left"/>
      <protection hidden="1"/>
    </xf>
    <xf numFmtId="38" fontId="9" fillId="18" borderId="0" xfId="7" applyNumberFormat="1" applyFont="1" applyFill="1" applyAlignment="1" applyProtection="1">
      <alignment horizontal="left" vertical="top" indent="1"/>
      <protection hidden="1"/>
    </xf>
    <xf numFmtId="38" fontId="9" fillId="18" borderId="0" xfId="7" applyNumberFormat="1" applyFont="1" applyFill="1" applyAlignment="1" applyProtection="1">
      <alignment horizontal="left" vertical="top"/>
      <protection hidden="1"/>
    </xf>
    <xf numFmtId="0" fontId="9" fillId="18" borderId="0" xfId="0" applyFont="1" applyFill="1" applyAlignment="1" applyProtection="1">
      <alignment horizontal="left"/>
      <protection hidden="1"/>
    </xf>
    <xf numFmtId="38" fontId="18" fillId="21" borderId="6" xfId="5" applyNumberFormat="1" applyFont="1" applyFill="1" applyBorder="1" applyAlignment="1" applyProtection="1">
      <alignment horizontal="left" indent="1"/>
      <protection hidden="1"/>
    </xf>
    <xf numFmtId="38" fontId="18" fillId="21" borderId="9" xfId="5" applyNumberFormat="1" applyFont="1" applyFill="1" applyBorder="1" applyAlignment="1" applyProtection="1">
      <alignment horizontal="left" indent="1"/>
      <protection hidden="1"/>
    </xf>
    <xf numFmtId="38" fontId="18" fillId="21" borderId="3" xfId="5" applyNumberFormat="1" applyFont="1" applyFill="1" applyBorder="1" applyAlignment="1" applyProtection="1">
      <alignment horizontal="left" indent="1"/>
      <protection hidden="1"/>
    </xf>
    <xf numFmtId="38" fontId="18" fillId="21" borderId="0" xfId="5" applyNumberFormat="1" applyFont="1" applyFill="1" applyAlignment="1" applyProtection="1">
      <alignment horizontal="left" indent="1"/>
      <protection hidden="1"/>
    </xf>
    <xf numFmtId="170" fontId="9" fillId="21" borderId="4" xfId="5" applyNumberFormat="1" applyFont="1" applyFill="1" applyBorder="1" applyAlignment="1" applyProtection="1">
      <alignment horizontal="right" indent="1"/>
      <protection hidden="1"/>
    </xf>
    <xf numFmtId="170" fontId="9" fillId="21" borderId="5" xfId="5" applyNumberFormat="1" applyFont="1" applyFill="1" applyBorder="1" applyAlignment="1" applyProtection="1">
      <alignment horizontal="right" indent="1"/>
      <protection hidden="1"/>
    </xf>
    <xf numFmtId="0" fontId="9" fillId="18" borderId="0" xfId="5" applyFont="1" applyFill="1" applyAlignment="1" applyProtection="1">
      <alignment horizontal="left" vertical="center"/>
      <protection hidden="1"/>
    </xf>
    <xf numFmtId="170" fontId="18" fillId="21" borderId="3" xfId="7" applyNumberFormat="1" applyFont="1" applyFill="1" applyBorder="1" applyAlignment="1" applyProtection="1">
      <alignment horizontal="left" indent="1"/>
      <protection hidden="1"/>
    </xf>
    <xf numFmtId="170" fontId="18" fillId="21" borderId="0" xfId="7" applyNumberFormat="1" applyFont="1" applyFill="1" applyAlignment="1" applyProtection="1">
      <alignment horizontal="left" indent="1"/>
      <protection hidden="1"/>
    </xf>
    <xf numFmtId="175" fontId="9" fillId="21" borderId="13" xfId="13" applyNumberFormat="1" applyFont="1" applyFill="1" applyBorder="1" applyAlignment="1" applyProtection="1">
      <alignment horizontal="center"/>
      <protection hidden="1"/>
    </xf>
    <xf numFmtId="175" fontId="9" fillId="21" borderId="22" xfId="13" applyNumberFormat="1" applyFont="1" applyFill="1" applyBorder="1" applyAlignment="1" applyProtection="1">
      <alignment horizontal="center"/>
      <protection hidden="1"/>
    </xf>
    <xf numFmtId="175" fontId="9" fillId="21" borderId="14" xfId="13" applyNumberFormat="1" applyFont="1" applyFill="1" applyBorder="1" applyAlignment="1" applyProtection="1">
      <alignment horizontal="center"/>
      <protection hidden="1"/>
    </xf>
    <xf numFmtId="167" fontId="9" fillId="21" borderId="9" xfId="12" applyNumberFormat="1" applyFont="1" applyFill="1" applyBorder="1" applyAlignment="1" applyProtection="1">
      <alignment horizontal="center" vertical="center"/>
      <protection hidden="1"/>
    </xf>
    <xf numFmtId="167" fontId="9" fillId="21" borderId="2" xfId="12" applyNumberFormat="1" applyFont="1" applyFill="1" applyBorder="1" applyAlignment="1" applyProtection="1">
      <alignment horizontal="center" vertical="center"/>
      <protection hidden="1"/>
    </xf>
    <xf numFmtId="38" fontId="13" fillId="21" borderId="6" xfId="10" quotePrefix="1" applyNumberFormat="1" applyFont="1" applyFill="1" applyBorder="1" applyAlignment="1" applyProtection="1">
      <alignment vertical="center"/>
      <protection hidden="1"/>
    </xf>
    <xf numFmtId="38" fontId="13" fillId="21" borderId="7" xfId="10" quotePrefix="1" applyNumberFormat="1" applyFont="1" applyFill="1" applyBorder="1" applyAlignment="1" applyProtection="1">
      <alignment vertical="center"/>
      <protection hidden="1"/>
    </xf>
    <xf numFmtId="167" fontId="9" fillId="21" borderId="22" xfId="12" applyNumberFormat="1" applyFont="1" applyFill="1" applyBorder="1" applyAlignment="1" applyProtection="1">
      <alignment horizontal="left"/>
      <protection hidden="1"/>
    </xf>
    <xf numFmtId="167" fontId="9" fillId="21" borderId="22" xfId="12" applyNumberFormat="1" applyFont="1" applyFill="1" applyBorder="1" applyAlignment="1" applyProtection="1">
      <alignment horizontal="center" vertical="top"/>
      <protection hidden="1"/>
    </xf>
    <xf numFmtId="164" fontId="9" fillId="21" borderId="9" xfId="13" applyNumberFormat="1" applyFont="1" applyFill="1" applyBorder="1" applyAlignment="1" applyProtection="1">
      <alignment horizontal="center" vertical="center"/>
      <protection hidden="1"/>
    </xf>
    <xf numFmtId="164" fontId="9" fillId="21" borderId="2" xfId="13" applyNumberFormat="1" applyFont="1" applyFill="1" applyBorder="1" applyAlignment="1" applyProtection="1">
      <alignment horizontal="center" vertical="center"/>
      <protection hidden="1"/>
    </xf>
    <xf numFmtId="164" fontId="9" fillId="21" borderId="9" xfId="13" applyNumberFormat="1" applyFont="1" applyFill="1" applyBorder="1" applyAlignment="1" applyProtection="1">
      <alignment horizontal="center" vertical="center" wrapText="1"/>
      <protection hidden="1"/>
    </xf>
    <xf numFmtId="164" fontId="9" fillId="21" borderId="2" xfId="13" applyNumberFormat="1" applyFont="1" applyFill="1" applyBorder="1" applyAlignment="1" applyProtection="1">
      <alignment horizontal="center" vertical="center" wrapText="1"/>
      <protection hidden="1"/>
    </xf>
    <xf numFmtId="0" fontId="9" fillId="21" borderId="0" xfId="10" applyFont="1" applyFill="1" applyAlignment="1" applyProtection="1">
      <alignment vertical="center"/>
      <protection hidden="1"/>
    </xf>
    <xf numFmtId="0" fontId="9" fillId="21" borderId="0" xfId="10" applyFont="1" applyFill="1" applyAlignment="1" applyProtection="1">
      <alignment horizontal="left" vertical="center"/>
      <protection hidden="1"/>
    </xf>
    <xf numFmtId="3" fontId="9" fillId="21" borderId="0" xfId="10" applyNumberFormat="1" applyFont="1" applyFill="1" applyAlignment="1" applyProtection="1">
      <alignment horizontal="right" vertical="center"/>
      <protection hidden="1"/>
    </xf>
    <xf numFmtId="0" fontId="9" fillId="21" borderId="2" xfId="10" applyFont="1" applyFill="1" applyBorder="1" applyAlignment="1" applyProtection="1">
      <alignment horizontal="center"/>
      <protection hidden="1"/>
    </xf>
    <xf numFmtId="0" fontId="9" fillId="21" borderId="0" xfId="10" applyFont="1" applyFill="1" applyAlignment="1" applyProtection="1">
      <alignment horizontal="center" vertical="center"/>
      <protection hidden="1"/>
    </xf>
    <xf numFmtId="38" fontId="51" fillId="18" borderId="0" xfId="5" applyNumberFormat="1" applyFont="1" applyFill="1" applyAlignment="1" applyProtection="1">
      <alignment horizontal="center" vertical="center"/>
      <protection hidden="1"/>
    </xf>
    <xf numFmtId="0" fontId="11" fillId="18" borderId="0" xfId="10" applyFont="1" applyFill="1" applyAlignment="1" applyProtection="1">
      <alignment horizontal="left"/>
      <protection hidden="1"/>
    </xf>
    <xf numFmtId="165" fontId="9" fillId="21" borderId="3" xfId="0" applyNumberFormat="1" applyFont="1" applyFill="1" applyBorder="1" applyAlignment="1" applyProtection="1">
      <alignment horizontal="left" vertical="center" indent="1"/>
      <protection hidden="1"/>
    </xf>
    <xf numFmtId="165" fontId="9" fillId="21" borderId="0" xfId="0" applyNumberFormat="1" applyFont="1" applyFill="1" applyAlignment="1" applyProtection="1">
      <alignment horizontal="left" vertical="center" indent="1"/>
      <protection hidden="1"/>
    </xf>
    <xf numFmtId="165" fontId="100" fillId="18" borderId="0" xfId="0" applyNumberFormat="1" applyFont="1" applyFill="1" applyAlignment="1" applyProtection="1">
      <alignment horizontal="center"/>
      <protection hidden="1"/>
    </xf>
    <xf numFmtId="168" fontId="13" fillId="21" borderId="5" xfId="0" applyNumberFormat="1" applyFont="1" applyFill="1" applyBorder="1" applyAlignment="1" applyProtection="1">
      <alignment horizontal="right" vertical="center" indent="1"/>
      <protection hidden="1"/>
    </xf>
    <xf numFmtId="168" fontId="13" fillId="21" borderId="0" xfId="0" applyNumberFormat="1" applyFont="1" applyFill="1" applyAlignment="1" applyProtection="1">
      <alignment horizontal="right" vertical="center"/>
      <protection hidden="1"/>
    </xf>
    <xf numFmtId="0" fontId="9" fillId="21" borderId="2" xfId="10" quotePrefix="1" applyFont="1" applyFill="1" applyBorder="1" applyAlignment="1" applyProtection="1">
      <alignment horizontal="center"/>
      <protection hidden="1"/>
    </xf>
    <xf numFmtId="0" fontId="9" fillId="21" borderId="9" xfId="10" applyFont="1" applyFill="1" applyBorder="1" applyAlignment="1" applyProtection="1">
      <alignment horizontal="center"/>
      <protection hidden="1"/>
    </xf>
    <xf numFmtId="38" fontId="9" fillId="18" borderId="0" xfId="1" applyNumberFormat="1" applyFont="1" applyFill="1" applyAlignment="1" applyProtection="1">
      <alignment horizontal="left" indent="1"/>
      <protection hidden="1"/>
    </xf>
    <xf numFmtId="38" fontId="9" fillId="18" borderId="0" xfId="1" applyNumberFormat="1" applyFont="1" applyFill="1" applyAlignment="1" applyProtection="1">
      <alignment horizontal="left"/>
      <protection hidden="1"/>
    </xf>
    <xf numFmtId="0" fontId="10" fillId="18" borderId="0" xfId="0" applyFont="1" applyFill="1" applyAlignment="1" applyProtection="1">
      <alignment horizontal="left" vertical="top" indent="1"/>
      <protection hidden="1"/>
    </xf>
    <xf numFmtId="0" fontId="51" fillId="18" borderId="0" xfId="0" applyFont="1" applyFill="1" applyAlignment="1" applyProtection="1">
      <alignment horizontal="left" indent="1"/>
      <protection hidden="1"/>
    </xf>
    <xf numFmtId="9" fontId="65" fillId="18" borderId="2" xfId="8" applyFont="1" applyFill="1" applyBorder="1" applyAlignment="1" applyProtection="1">
      <alignment horizontal="center"/>
      <protection hidden="1"/>
    </xf>
    <xf numFmtId="38" fontId="87" fillId="19" borderId="25" xfId="1" applyNumberFormat="1" applyFont="1" applyFill="1" applyBorder="1" applyAlignment="1" applyProtection="1">
      <alignment horizontal="center" vertical="center"/>
      <protection hidden="1"/>
    </xf>
    <xf numFmtId="38" fontId="87" fillId="19" borderId="26" xfId="1" applyNumberFormat="1" applyFont="1" applyFill="1" applyBorder="1" applyAlignment="1" applyProtection="1">
      <alignment horizontal="center" vertical="center"/>
      <protection hidden="1"/>
    </xf>
    <xf numFmtId="38" fontId="9" fillId="19" borderId="25" xfId="1" applyNumberFormat="1" applyFont="1" applyFill="1" applyBorder="1" applyAlignment="1" applyProtection="1">
      <alignment horizontal="center" vertical="center"/>
      <protection hidden="1"/>
    </xf>
    <xf numFmtId="38" fontId="9" fillId="19" borderId="26" xfId="1" applyNumberFormat="1" applyFont="1" applyFill="1" applyBorder="1" applyAlignment="1" applyProtection="1">
      <alignment horizontal="center" vertical="center"/>
      <protection hidden="1"/>
    </xf>
  </cellXfs>
  <cellStyles count="16">
    <cellStyle name="Hyperlink" xfId="15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2 2" xfId="10" xr:uid="{EB4AE8EA-90B0-41E2-9E45-B1E138FA3E70}"/>
    <cellStyle name="Normal 2 2 3" xfId="11" xr:uid="{7705BEBF-758B-44BD-AF83-5AC03DA4C488}"/>
    <cellStyle name="Normal 2 3" xfId="7" xr:uid="{00000000-0005-0000-0000-000004000000}"/>
    <cellStyle name="Normal 2 3 2" xfId="9" xr:uid="{14190DC9-46A4-4EC1-853C-DE5B633F58D2}"/>
    <cellStyle name="Normal 3 2" xfId="12" xr:uid="{BED1A801-84DA-4C02-A649-64820AEFE5CB}"/>
    <cellStyle name="Normal 4" xfId="14" xr:uid="{FEF4D52F-0897-4823-AB24-4E1B2905047D}"/>
    <cellStyle name="Normal_Chapter 2 and 4 and 5 Worksheets 2" xfId="4" xr:uid="{00000000-0005-0000-0000-000005000000}"/>
    <cellStyle name="Percent" xfId="8" builtinId="5"/>
    <cellStyle name="Percent 2" xfId="2" xr:uid="{00000000-0005-0000-0000-000006000000}"/>
    <cellStyle name="Percent 2 2" xfId="6" xr:uid="{00000000-0005-0000-0000-000007000000}"/>
    <cellStyle name="Percent 3" xfId="13" xr:uid="{2FD81E36-59C7-45B6-B564-71834A22F18B}"/>
    <cellStyle name="ShadedHeadings" xfId="3" xr:uid="{00000000-0005-0000-0000-000008000000}"/>
  </cellStyles>
  <dxfs count="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F7F7F7"/>
      <color rgb="FFFFFFE5"/>
      <color rgb="FF006800"/>
      <color rgb="FF00007E"/>
      <color rgb="FF00009E"/>
      <color rgb="FFF0F8FA"/>
      <color rgb="FFFAFAFA"/>
      <color rgb="FFF0F0F0"/>
      <color rgb="FFF5F5F5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290330088290072E-3"/>
          <c:y val="0.12879086136960152"/>
          <c:w val="0.98879147212193497"/>
          <c:h val="0.8484818659031258"/>
        </c:manualLayout>
      </c:layout>
      <c:barChart>
        <c:barDir val="col"/>
        <c:grouping val="percentStacked"/>
        <c:varyColors val="0"/>
        <c:ser>
          <c:idx val="4"/>
          <c:order val="0"/>
          <c:tx>
            <c:strRef>
              <c:f>WACC!$Q$19</c:f>
              <c:strCache>
                <c:ptCount val="1"/>
                <c:pt idx="0">
                  <c:v>Common Stock</c:v>
                </c:pt>
              </c:strCache>
            </c:strRef>
          </c:tx>
          <c:spPr>
            <a:solidFill>
              <a:srgbClr val="E1E5EB"/>
            </a:solidFill>
            <a:ln w="3175">
              <a:solidFill>
                <a:schemeClr val="bg1">
                  <a:lumMod val="50000"/>
                </a:schemeClr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67A-4245-A662-CEE26BEF6D9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67A-4245-A662-CEE26BEF6D9B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E1E5EB"/>
                </a:solidFill>
                <a:ln>
                  <a:noFill/>
                </a:ln>
                <a:effectLst/>
              </c:spPr>
              <c:txPr>
                <a:bodyPr vertOverflow="overflow" horzOverflow="overflow" wrap="none" lIns="548640" tIns="19050" rIns="0" bIns="19050" anchor="ctr">
                  <a:noAutofit/>
                </a:bodyPr>
                <a:lstStyle/>
                <a:p>
                  <a:pPr>
                    <a:defRPr sz="950"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68978732568513"/>
                      <c:h val="6.04316594308537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67A-4245-A662-CEE26BEF6D9B}"/>
                </c:ext>
              </c:extLst>
            </c:dLbl>
            <c:dLbl>
              <c:idx val="1"/>
              <c:spPr>
                <a:solidFill>
                  <a:srgbClr val="E1E5EB"/>
                </a:solidFill>
                <a:ln>
                  <a:noFill/>
                </a:ln>
                <a:effectLst/>
              </c:spPr>
              <c:txPr>
                <a:bodyPr vertOverflow="overflow" horzOverflow="overflow" wrap="none" lIns="548640" tIns="19050" rIns="0" bIns="19050" anchor="ctr">
                  <a:noAutofit/>
                </a:bodyPr>
                <a:lstStyle/>
                <a:p>
                  <a:pPr>
                    <a:defRPr sz="950"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68978732568513"/>
                      <c:h val="6.04316594308537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67A-4245-A662-CEE26BEF6D9B}"/>
                </c:ext>
              </c:extLst>
            </c:dLbl>
            <c:dLbl>
              <c:idx val="2"/>
              <c:spPr>
                <a:solidFill>
                  <a:srgbClr val="E1E5EB"/>
                </a:solidFill>
                <a:ln>
                  <a:noFill/>
                </a:ln>
                <a:effectLst/>
              </c:spPr>
              <c:txPr>
                <a:bodyPr vertOverflow="overflow" horzOverflow="overflow" wrap="none" lIns="548640" tIns="19050" rIns="0" bIns="19050" anchor="ctr">
                  <a:noAutofit/>
                </a:bodyPr>
                <a:lstStyle/>
                <a:p>
                  <a:pPr>
                    <a:defRPr sz="950"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068978732568513"/>
                      <c:h val="6.04316594308537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67A-4245-A662-CEE26BEF6D9B}"/>
                </c:ext>
              </c:extLst>
            </c:dLbl>
            <c:dLbl>
              <c:idx val="3"/>
              <c:spPr>
                <a:solidFill>
                  <a:srgbClr val="E1E5EB"/>
                </a:solidFill>
                <a:ln>
                  <a:noFill/>
                </a:ln>
                <a:effectLst/>
              </c:spPr>
              <c:txPr>
                <a:bodyPr vertOverflow="overflow" horzOverflow="overflow" wrap="none" lIns="91440" tIns="19050" rIns="38100" bIns="19050" anchor="ctr" anchorCtr="0">
                  <a:noAutofit/>
                </a:bodyPr>
                <a:lstStyle/>
                <a:p>
                  <a:pPr algn="l">
                    <a:defRPr sz="1000"/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46078407541093"/>
                      <c:h val="8.44611835557474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267A-4245-A662-CEE26BEF6D9B}"/>
                </c:ext>
              </c:extLst>
            </c:dLbl>
            <c:spPr>
              <a:solidFill>
                <a:srgbClr val="E1E5EB"/>
              </a:solidFill>
              <a:ln>
                <a:noFill/>
              </a:ln>
              <a:effectLst/>
            </c:spPr>
            <c:txPr>
              <a:bodyPr vertOverflow="overflow" horzOverflow="overflow" wrap="none" lIns="38100" tIns="19050" rIns="38100" bIns="19050" anchor="ctr">
                <a:noAutofit/>
              </a:bodyPr>
              <a:lstStyle/>
              <a:p>
                <a:pPr>
                  <a:defRPr sz="95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WACC!$R$18:$U$18</c:f>
              <c:strCache>
                <c:ptCount val="3"/>
                <c:pt idx="0">
                  <c:v>Weighted cost</c:v>
                </c:pt>
                <c:pt idx="1">
                  <c:v>Cost of Capital</c:v>
                </c:pt>
                <c:pt idx="2">
                  <c:v>Pct of total</c:v>
                </c:pt>
              </c:strCache>
            </c:strRef>
          </c:cat>
          <c:val>
            <c:numRef>
              <c:f>WACC!$R$19:$U$19</c:f>
              <c:numCache>
                <c:formatCode>0.0%</c:formatCode>
                <c:ptCount val="4"/>
                <c:pt idx="0" formatCode="General">
                  <c:v>1.3978947368421053E-2</c:v>
                </c:pt>
                <c:pt idx="1">
                  <c:v>4.1500000000000002E-2</c:v>
                </c:pt>
                <c:pt idx="2">
                  <c:v>0.33684210526315789</c:v>
                </c:pt>
                <c:pt idx="3" formatCode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7A-4245-A662-CEE26BEF6D9B}"/>
            </c:ext>
          </c:extLst>
        </c:ser>
        <c:ser>
          <c:idx val="3"/>
          <c:order val="1"/>
          <c:tx>
            <c:strRef>
              <c:f>WACC!$Q$20</c:f>
              <c:strCache>
                <c:ptCount val="1"/>
                <c:pt idx="0">
                  <c:v>Preferred stock</c:v>
                </c:pt>
              </c:strCache>
            </c:strRef>
          </c:tx>
          <c:spPr>
            <a:solidFill>
              <a:srgbClr val="F2F3F6"/>
            </a:solidFill>
            <a:ln w="3175">
              <a:solidFill>
                <a:schemeClr val="bg1">
                  <a:lumMod val="50000"/>
                </a:schemeClr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67A-4245-A662-CEE26BEF6D9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67A-4245-A662-CEE26BEF6D9B}"/>
              </c:ext>
            </c:extLst>
          </c:dPt>
          <c:dLbls>
            <c:dLbl>
              <c:idx val="0"/>
              <c:spPr>
                <a:solidFill>
                  <a:srgbClr val="F2F3F6"/>
                </a:solidFill>
                <a:ln>
                  <a:noFill/>
                </a:ln>
                <a:effectLst/>
              </c:spPr>
              <c:txPr>
                <a:bodyPr vertOverflow="overflow" horzOverflow="overflow" wrap="none" lIns="182880" tIns="19050" rIns="0" bIns="19050" anchor="ctr">
                  <a:noAutofit/>
                </a:bodyPr>
                <a:lstStyle/>
                <a:p>
                  <a:pPr>
                    <a:defRPr sz="95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06189958316375"/>
                      <c:h val="6.04316594308537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67A-4245-A662-CEE26BEF6D9B}"/>
                </c:ext>
              </c:extLst>
            </c:dLbl>
            <c:dLbl>
              <c:idx val="1"/>
              <c:spPr>
                <a:solidFill>
                  <a:srgbClr val="F2F3F6"/>
                </a:solidFill>
                <a:ln>
                  <a:noFill/>
                </a:ln>
                <a:effectLst/>
              </c:spPr>
              <c:txPr>
                <a:bodyPr vertOverflow="overflow" horzOverflow="overflow" wrap="none" lIns="182880" tIns="19050" rIns="0" bIns="19050" anchor="ctr">
                  <a:noAutofit/>
                </a:bodyPr>
                <a:lstStyle/>
                <a:p>
                  <a:pPr>
                    <a:defRPr sz="95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06189958316375"/>
                      <c:h val="6.04316594308537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267A-4245-A662-CEE26BEF6D9B}"/>
                </c:ext>
              </c:extLst>
            </c:dLbl>
            <c:dLbl>
              <c:idx val="2"/>
              <c:spPr>
                <a:solidFill>
                  <a:srgbClr val="F2F3F6"/>
                </a:solidFill>
                <a:ln>
                  <a:noFill/>
                </a:ln>
                <a:effectLst/>
              </c:spPr>
              <c:txPr>
                <a:bodyPr vertOverflow="overflow" horzOverflow="overflow" wrap="none" lIns="182880" tIns="19050" rIns="0" bIns="19050" anchor="ctr">
                  <a:noAutofit/>
                </a:bodyPr>
                <a:lstStyle/>
                <a:p>
                  <a:pPr>
                    <a:defRPr sz="95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068978732568513"/>
                      <c:h val="6.04316594308537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267A-4245-A662-CEE26BEF6D9B}"/>
                </c:ext>
              </c:extLst>
            </c:dLbl>
            <c:dLbl>
              <c:idx val="3"/>
              <c:spPr>
                <a:solidFill>
                  <a:srgbClr val="F2F3F6"/>
                </a:solidFill>
                <a:ln>
                  <a:noFill/>
                </a:ln>
                <a:effectLst/>
              </c:spPr>
              <c:txPr>
                <a:bodyPr vertOverflow="overflow" horzOverflow="overflow" wrap="none" lIns="91440" tIns="19050" rIns="38100" bIns="19050" anchor="ctr" anchorCtr="0">
                  <a:noAutofit/>
                </a:bodyPr>
                <a:lstStyle/>
                <a:p>
                  <a:pPr algn="l">
                    <a:defRPr sz="1000"/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646078407541093"/>
                      <c:h val="8.44611835557474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267A-4245-A662-CEE26BEF6D9B}"/>
                </c:ext>
              </c:extLst>
            </c:dLbl>
            <c:spPr>
              <a:solidFill>
                <a:srgbClr val="F2F3F6"/>
              </a:solidFill>
              <a:ln>
                <a:noFill/>
              </a:ln>
              <a:effectLst/>
            </c:spPr>
            <c:txPr>
              <a:bodyPr vertOverflow="overflow" horzOverflow="overflow" wrap="none" lIns="38100" tIns="19050" rIns="38100" bIns="19050" anchor="ctr">
                <a:noAutofit/>
              </a:bodyPr>
              <a:lstStyle/>
              <a:p>
                <a:pPr>
                  <a:defRPr sz="95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WACC!$R$18:$U$18</c:f>
              <c:strCache>
                <c:ptCount val="3"/>
                <c:pt idx="0">
                  <c:v>Weighted cost</c:v>
                </c:pt>
                <c:pt idx="1">
                  <c:v>Cost of Capital</c:v>
                </c:pt>
                <c:pt idx="2">
                  <c:v>Pct of total</c:v>
                </c:pt>
              </c:strCache>
            </c:strRef>
          </c:cat>
          <c:val>
            <c:numRef>
              <c:f>WACC!$R$20:$U$20</c:f>
              <c:numCache>
                <c:formatCode>0.0%</c:formatCode>
                <c:ptCount val="4"/>
                <c:pt idx="0">
                  <c:v>4.3684210526315787E-3</c:v>
                </c:pt>
                <c:pt idx="1">
                  <c:v>4.1500000000000002E-2</c:v>
                </c:pt>
                <c:pt idx="2">
                  <c:v>0.10526315789473684</c:v>
                </c:pt>
                <c:pt idx="3" formatCode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67A-4245-A662-CEE26BEF6D9B}"/>
            </c:ext>
          </c:extLst>
        </c:ser>
        <c:ser>
          <c:idx val="2"/>
          <c:order val="2"/>
          <c:tx>
            <c:strRef>
              <c:f>WACC!$Q$21</c:f>
              <c:strCache>
                <c:ptCount val="1"/>
                <c:pt idx="0">
                  <c:v>Long-term debt</c:v>
                </c:pt>
              </c:strCache>
            </c:strRef>
          </c:tx>
          <c:spPr>
            <a:solidFill>
              <a:srgbClr val="E1E5EB"/>
            </a:solidFill>
            <a:ln w="3175">
              <a:solidFill>
                <a:schemeClr val="bg1">
                  <a:lumMod val="50000"/>
                </a:schemeClr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67A-4245-A662-CEE26BEF6D9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67A-4245-A662-CEE26BEF6D9B}"/>
              </c:ext>
            </c:extLst>
          </c:dPt>
          <c:dLbls>
            <c:dLbl>
              <c:idx val="0"/>
              <c:spPr>
                <a:solidFill>
                  <a:srgbClr val="E1E5EB"/>
                </a:solidFill>
                <a:ln>
                  <a:noFill/>
                </a:ln>
                <a:effectLst/>
              </c:spPr>
              <c:txPr>
                <a:bodyPr rot="0" spcFirstLastPara="1" vertOverflow="overflow" horzOverflow="overflow" vert="horz" wrap="none" lIns="0" rIns="274320" anchor="ctr" anchorCtr="1"/>
                <a:lstStyle/>
                <a:p>
                  <a:pPr>
                    <a:defRPr sz="9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Segoe UI Semibold" panose="020B0702040204020203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006189958316375"/>
                      <c:h val="6.04316594308537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267A-4245-A662-CEE26BEF6D9B}"/>
                </c:ext>
              </c:extLst>
            </c:dLbl>
            <c:dLbl>
              <c:idx val="1"/>
              <c:spPr>
                <a:solidFill>
                  <a:srgbClr val="E1E5EB"/>
                </a:solidFill>
                <a:ln>
                  <a:noFill/>
                </a:ln>
                <a:effectLst/>
              </c:spPr>
              <c:txPr>
                <a:bodyPr rot="0" spcFirstLastPara="1" vertOverflow="overflow" horzOverflow="overflow" vert="horz" wrap="none" lIns="0" rIns="274320" anchor="ctr" anchorCtr="1"/>
                <a:lstStyle/>
                <a:p>
                  <a:pPr>
                    <a:defRPr sz="9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Segoe UI Semibold" panose="020B0702040204020203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006189958316375"/>
                      <c:h val="6.04316594308537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267A-4245-A662-CEE26BEF6D9B}"/>
                </c:ext>
              </c:extLst>
            </c:dLbl>
            <c:dLbl>
              <c:idx val="2"/>
              <c:spPr>
                <a:solidFill>
                  <a:srgbClr val="E1E5EB"/>
                </a:solidFill>
                <a:ln>
                  <a:noFill/>
                </a:ln>
                <a:effectLst/>
              </c:spPr>
              <c:txPr>
                <a:bodyPr rot="0" spcFirstLastPara="1" vertOverflow="overflow" horzOverflow="overflow" vert="horz" wrap="none" lIns="0" rIns="274320" anchor="ctr" anchorCtr="1"/>
                <a:lstStyle/>
                <a:p>
                  <a:pPr>
                    <a:defRPr sz="9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Segoe UI Semibold" panose="020B0702040204020203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006189958316375"/>
                      <c:h val="6.04316594308537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267A-4245-A662-CEE26BEF6D9B}"/>
                </c:ext>
              </c:extLst>
            </c:dLbl>
            <c:dLbl>
              <c:idx val="3"/>
              <c:spPr>
                <a:solidFill>
                  <a:srgbClr val="E1E5EB"/>
                </a:solidFill>
                <a:ln>
                  <a:noFill/>
                </a:ln>
                <a:effectLst/>
              </c:spPr>
              <c:txPr>
                <a:bodyPr rot="0" spcFirstLastPara="1" vertOverflow="overflow" horzOverflow="overflow" vert="horz" wrap="none" lIns="91440" anchor="ctr" anchorCtr="0"/>
                <a:lstStyle/>
                <a:p>
                  <a:pPr algn="l"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Segoe UI Semibold" panose="020B0702040204020203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646078407541093"/>
                      <c:h val="8.44611835557474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267A-4245-A662-CEE26BEF6D9B}"/>
                </c:ext>
              </c:extLst>
            </c:dLbl>
            <c:dLbl>
              <c:idx val="4"/>
              <c:spPr>
                <a:solidFill>
                  <a:srgbClr val="E1E5EB"/>
                </a:solidFill>
                <a:ln w="6350">
                  <a:noFill/>
                </a:ln>
                <a:effectLst/>
              </c:spPr>
              <c:txPr>
                <a:bodyPr rot="0" spcFirstLastPara="1" vertOverflow="overflow" horzOverflow="overflow" vert="horz" wrap="none" lIns="91440" anchor="ctr" anchorCtr="1"/>
                <a:lstStyle/>
                <a:p>
                  <a:pPr algn="l">
                    <a:defRPr sz="9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Segoe UI Semibold" panose="020B0702040204020203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59322033898305"/>
                      <c:h val="0.121382562958073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267A-4245-A662-CEE26BEF6D9B}"/>
                </c:ext>
              </c:extLst>
            </c:dLbl>
            <c:spPr>
              <a:solidFill>
                <a:srgbClr val="E1E5EB"/>
              </a:solidFill>
              <a:ln>
                <a:noFill/>
              </a:ln>
              <a:effectLst/>
            </c:spPr>
            <c:txPr>
              <a:bodyPr rot="0" spcFirstLastPara="1" vertOverflow="overflow" horzOverflow="overflow" vert="horz" wrap="none" lIns="91440" anchor="ctr" anchorCtr="1"/>
              <a:lstStyle/>
              <a:p>
                <a:pPr>
                  <a:defRPr sz="9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Segoe UI Semibold" panose="020B070204020402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WACC!$R$18:$U$18</c:f>
              <c:strCache>
                <c:ptCount val="3"/>
                <c:pt idx="0">
                  <c:v>Weighted cost</c:v>
                </c:pt>
                <c:pt idx="1">
                  <c:v>Cost of Capital</c:v>
                </c:pt>
                <c:pt idx="2">
                  <c:v>Pct of total</c:v>
                </c:pt>
              </c:strCache>
            </c:strRef>
          </c:cat>
          <c:val>
            <c:numRef>
              <c:f>WACC!$R$21:$U$21</c:f>
              <c:numCache>
                <c:formatCode>0.0%</c:formatCode>
                <c:ptCount val="4"/>
                <c:pt idx="0">
                  <c:v>2.3787067669172931E-2</c:v>
                </c:pt>
                <c:pt idx="1">
                  <c:v>6.2771428571428561E-2</c:v>
                </c:pt>
                <c:pt idx="2">
                  <c:v>0.37894736842105264</c:v>
                </c:pt>
                <c:pt idx="3" formatCode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67A-4245-A662-CEE26BEF6D9B}"/>
            </c:ext>
          </c:extLst>
        </c:ser>
        <c:ser>
          <c:idx val="0"/>
          <c:order val="3"/>
          <c:tx>
            <c:strRef>
              <c:f>WACC!$Q$22</c:f>
              <c:strCache>
                <c:ptCount val="1"/>
                <c:pt idx="0">
                  <c:v>Short-term debt</c:v>
                </c:pt>
              </c:strCache>
            </c:strRef>
          </c:tx>
          <c:spPr>
            <a:solidFill>
              <a:srgbClr val="F2F3F6"/>
            </a:solidFill>
            <a:ln w="3175">
              <a:solidFill>
                <a:schemeClr val="bg1">
                  <a:lumMod val="50000"/>
                </a:schemeClr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267A-4245-A662-CEE26BEF6D9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67A-4245-A662-CEE26BEF6D9B}"/>
              </c:ext>
            </c:extLst>
          </c:dPt>
          <c:dLbls>
            <c:dLbl>
              <c:idx val="0"/>
              <c:spPr>
                <a:solidFill>
                  <a:srgbClr val="F2F3F6"/>
                </a:solidFill>
                <a:ln>
                  <a:noFill/>
                </a:ln>
                <a:effectLst/>
              </c:spPr>
              <c:txPr>
                <a:bodyPr rot="0" spcFirstLastPara="1" vertOverflow="overflow" horzOverflow="overflow" vert="horz" wrap="none" lIns="0" rIns="548640" anchor="ctr" anchorCtr="1">
                  <a:noAutofit/>
                </a:bodyPr>
                <a:lstStyle/>
                <a:p>
                  <a:pPr>
                    <a:defRPr sz="9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Segoe UI Semibold" panose="020B0702040204020203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2615221385750495"/>
                      <c:h val="6.04316594308537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267A-4245-A662-CEE26BEF6D9B}"/>
                </c:ext>
              </c:extLst>
            </c:dLbl>
            <c:dLbl>
              <c:idx val="1"/>
              <c:spPr>
                <a:solidFill>
                  <a:srgbClr val="F2F3F6"/>
                </a:solidFill>
                <a:ln>
                  <a:noFill/>
                </a:ln>
                <a:effectLst/>
              </c:spPr>
              <c:txPr>
                <a:bodyPr rot="0" spcFirstLastPara="1" vertOverflow="overflow" horzOverflow="overflow" vert="horz" wrap="none" lIns="0" rIns="548640" anchor="ctr" anchorCtr="1">
                  <a:noAutofit/>
                </a:bodyPr>
                <a:lstStyle/>
                <a:p>
                  <a:pPr>
                    <a:defRPr sz="9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Segoe UI Semibold" panose="020B0702040204020203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2615221385750495"/>
                      <c:h val="6.04316594308537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267A-4245-A662-CEE26BEF6D9B}"/>
                </c:ext>
              </c:extLst>
            </c:dLbl>
            <c:dLbl>
              <c:idx val="2"/>
              <c:spPr>
                <a:solidFill>
                  <a:srgbClr val="F2F3F6"/>
                </a:solidFill>
                <a:ln>
                  <a:noFill/>
                </a:ln>
                <a:effectLst/>
              </c:spPr>
              <c:txPr>
                <a:bodyPr rot="0" spcFirstLastPara="1" vertOverflow="overflow" horzOverflow="overflow" vert="horz" wrap="none" lIns="0" rIns="548640" anchor="ctr" anchorCtr="1">
                  <a:noAutofit/>
                </a:bodyPr>
                <a:lstStyle/>
                <a:p>
                  <a:pPr>
                    <a:defRPr sz="9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Segoe UI Semibold" panose="020B0702040204020203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4168556631944502"/>
                      <c:h val="6.04316594308537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267A-4245-A662-CEE26BEF6D9B}"/>
                </c:ext>
              </c:extLst>
            </c:dLbl>
            <c:dLbl>
              <c:idx val="3"/>
              <c:spPr>
                <a:solidFill>
                  <a:srgbClr val="F2F3F6"/>
                </a:solidFill>
                <a:ln>
                  <a:noFill/>
                </a:ln>
                <a:effectLst/>
              </c:spPr>
              <c:txPr>
                <a:bodyPr rot="0" spcFirstLastPara="1" vertOverflow="overflow" horzOverflow="overflow" vert="horz" wrap="none" lIns="91440" anchor="ctr" anchorCtr="0">
                  <a:noAutofit/>
                </a:bodyPr>
                <a:lstStyle/>
                <a:p>
                  <a:pPr algn="l"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Segoe UI Semibold" panose="020B0702040204020203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646078407541093"/>
                      <c:h val="8.75183047635455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267A-4245-A662-CEE26BEF6D9B}"/>
                </c:ext>
              </c:extLst>
            </c:dLbl>
            <c:dLbl>
              <c:idx val="4"/>
              <c:spPr>
                <a:solidFill>
                  <a:srgbClr val="F2F3F6"/>
                </a:solidFill>
                <a:ln w="6350">
                  <a:noFill/>
                </a:ln>
                <a:effectLst/>
              </c:spPr>
              <c:txPr>
                <a:bodyPr rot="0" spcFirstLastPara="1" vertOverflow="overflow" horzOverflow="overflow" vert="horz" wrap="none" anchor="ctr" anchorCtr="0">
                  <a:spAutoFit/>
                </a:bodyPr>
                <a:lstStyle/>
                <a:p>
                  <a:pPr algn="l">
                    <a:defRPr sz="95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Segoe UI Semibold" panose="020B0702040204020203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59322033898305"/>
                      <c:h val="0.121382562958073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267A-4245-A662-CEE26BEF6D9B}"/>
                </c:ext>
              </c:extLst>
            </c:dLbl>
            <c:spPr>
              <a:solidFill>
                <a:srgbClr val="F2F3F6"/>
              </a:solidFill>
              <a:ln>
                <a:noFill/>
              </a:ln>
              <a:effectLst/>
            </c:spPr>
            <c:txPr>
              <a:bodyPr rot="0" spcFirstLastPara="1" vertOverflow="overflow" horzOverflow="overflow" vert="horz" wrap="none" anchor="ctr" anchorCtr="1"/>
              <a:lstStyle/>
              <a:p>
                <a:pPr>
                  <a:defRPr sz="9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Segoe UI Semibold" panose="020B070204020402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WACC!$R$18:$U$18</c:f>
              <c:strCache>
                <c:ptCount val="3"/>
                <c:pt idx="0">
                  <c:v>Weighted cost</c:v>
                </c:pt>
                <c:pt idx="1">
                  <c:v>Cost of Capital</c:v>
                </c:pt>
                <c:pt idx="2">
                  <c:v>Pct of total</c:v>
                </c:pt>
              </c:strCache>
            </c:strRef>
          </c:cat>
          <c:val>
            <c:numRef>
              <c:f>WACC!$R$22:$U$22</c:f>
              <c:numCache>
                <c:formatCode>0.0%</c:formatCode>
                <c:ptCount val="4"/>
                <c:pt idx="0">
                  <c:v>8.5485714285714279E-3</c:v>
                </c:pt>
                <c:pt idx="1">
                  <c:v>4.7771428571428569E-2</c:v>
                </c:pt>
                <c:pt idx="2">
                  <c:v>0.17894736842105263</c:v>
                </c:pt>
                <c:pt idx="3" formatCode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67A-4245-A662-CEE26BEF6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63418831"/>
        <c:axId val="363416911"/>
      </c:barChart>
      <c:catAx>
        <c:axId val="363418831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3175">
            <a:solidFill>
              <a:schemeClr val="tx1"/>
            </a:solidFill>
            <a:prstDash val="sysDot"/>
          </a:ln>
        </c:spPr>
        <c:txPr>
          <a:bodyPr/>
          <a:lstStyle/>
          <a:p>
            <a:pPr>
              <a:defRPr sz="1000" b="0" i="0">
                <a:solidFill>
                  <a:sysClr val="windowText" lastClr="000000"/>
                </a:solidFill>
              </a:defRPr>
            </a:pPr>
            <a:endParaRPr lang="en-US"/>
          </a:p>
        </c:txPr>
        <c:crossAx val="363416911"/>
        <c:crosses val="autoZero"/>
        <c:auto val="1"/>
        <c:lblAlgn val="ctr"/>
        <c:lblOffset val="0"/>
        <c:noMultiLvlLbl val="0"/>
      </c:catAx>
      <c:valAx>
        <c:axId val="363416911"/>
        <c:scaling>
          <c:orientation val="minMax"/>
        </c:scaling>
        <c:delete val="1"/>
        <c:axPos val="r"/>
        <c:numFmt formatCode="0%" sourceLinked="1"/>
        <c:majorTickMark val="none"/>
        <c:minorTickMark val="none"/>
        <c:tickLblPos val="nextTo"/>
        <c:crossAx val="363418831"/>
        <c:crosses val="autoZero"/>
        <c:crossBetween val="between"/>
      </c:valAx>
      <c:spPr>
        <a:noFill/>
        <a:ln w="3175">
          <a:solidFill>
            <a:schemeClr val="tx1"/>
          </a:solidFill>
          <a:prstDash val="sysDot"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0" cap="flat" cmpd="sng" algn="ctr">
      <a:noFill/>
      <a:round/>
    </a:ln>
    <a:effectLst/>
  </c:spPr>
  <c:txPr>
    <a:bodyPr/>
    <a:lstStyle/>
    <a:p>
      <a:pPr>
        <a:defRPr sz="950">
          <a:solidFill>
            <a:sysClr val="windowText" lastClr="000000"/>
          </a:solidFill>
          <a:latin typeface="+mn-lt"/>
          <a:cs typeface="Segoe UI Semibold" panose="020B0702040204020203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82500289474699"/>
          <c:y val="0.15180039667816392"/>
          <c:w val="0.57465786602970403"/>
          <c:h val="0.71018833402939363"/>
        </c:manualLayout>
      </c:layout>
      <c:scatterChart>
        <c:scatterStyle val="lineMarker"/>
        <c:varyColors val="0"/>
        <c:ser>
          <c:idx val="0"/>
          <c:order val="0"/>
          <c:tx>
            <c:strRef>
              <c:f>Bonds!$R$20</c:f>
              <c:strCache>
                <c:ptCount val="1"/>
                <c:pt idx="0">
                  <c:v>Current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3175">
                <a:noFill/>
              </a:ln>
              <a:effectLst/>
            </c:spPr>
          </c:marker>
          <c:dPt>
            <c:idx val="4"/>
            <c:marker>
              <c:symbol val="circle"/>
              <c:size val="4"/>
              <c:spPr>
                <a:solidFill>
                  <a:srgbClr val="00B050"/>
                </a:solidFill>
                <a:ln w="31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E1F-4ABC-BBE5-1357C69136CF}"/>
              </c:ext>
            </c:extLst>
          </c:dPt>
          <c:dPt>
            <c:idx val="9"/>
            <c:marker>
              <c:symbol val="circle"/>
              <c:size val="4"/>
              <c:spPr>
                <a:solidFill>
                  <a:srgbClr val="00B050"/>
                </a:solidFill>
                <a:ln w="31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E1F-4ABC-BBE5-1357C69136CF}"/>
              </c:ext>
            </c:extLst>
          </c:dPt>
          <c:xVal>
            <c:numRef>
              <c:f>Bonds!$P$22:$P$28</c:f>
              <c:numCache>
                <c:formatCode>#,##0;[Red]#,##0</c:formatCode>
                <c:ptCount val="7"/>
                <c:pt idx="0">
                  <c:v>1174.9999262969509</c:v>
                </c:pt>
                <c:pt idx="1">
                  <c:v>1149.9999262969509</c:v>
                </c:pt>
                <c:pt idx="2">
                  <c:v>1124.9999262969509</c:v>
                </c:pt>
                <c:pt idx="3">
                  <c:v>1099.9999262969509</c:v>
                </c:pt>
                <c:pt idx="4">
                  <c:v>1074.9999262969509</c:v>
                </c:pt>
                <c:pt idx="5">
                  <c:v>1049.9999262969509</c:v>
                </c:pt>
                <c:pt idx="6">
                  <c:v>1024.9999262969509</c:v>
                </c:pt>
              </c:numCache>
            </c:numRef>
          </c:xVal>
          <c:yVal>
            <c:numRef>
              <c:f>Bonds!$T$22:$T$28</c:f>
              <c:numCache>
                <c:formatCode>0.0%</c:formatCode>
                <c:ptCount val="7"/>
                <c:pt idx="0">
                  <c:v>5.9574471821974659E-2</c:v>
                </c:pt>
                <c:pt idx="1">
                  <c:v>6.0869569118498126E-2</c:v>
                </c:pt>
                <c:pt idx="2">
                  <c:v>6.2222226298638043E-2</c:v>
                </c:pt>
                <c:pt idx="3">
                  <c:v>6.3636367900176682E-2</c:v>
                </c:pt>
                <c:pt idx="4">
                  <c:v>6.5116283534203387E-2</c:v>
                </c:pt>
                <c:pt idx="5">
                  <c:v>6.666667134622567E-2</c:v>
                </c:pt>
                <c:pt idx="6">
                  <c:v>6.8292687837443244E-2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E1F-4ABC-BBE5-1357C69136CF}"/>
            </c:ext>
          </c:extLst>
        </c:ser>
        <c:ser>
          <c:idx val="2"/>
          <c:order val="1"/>
          <c:tx>
            <c:strRef>
              <c:f>Bonds!$AA$20</c:f>
              <c:strCache>
                <c:ptCount val="1"/>
                <c:pt idx="0">
                  <c:v>YTM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6800"/>
              </a:solidFill>
              <a:ln w="9525">
                <a:noFill/>
              </a:ln>
              <a:effectLst/>
            </c:spPr>
          </c:marker>
          <c:xVal>
            <c:numRef>
              <c:f>Bonds!$P$22:$P$28</c:f>
              <c:numCache>
                <c:formatCode>#,##0;[Red]#,##0</c:formatCode>
                <c:ptCount val="7"/>
                <c:pt idx="0">
                  <c:v>1174.9999262969509</c:v>
                </c:pt>
                <c:pt idx="1">
                  <c:v>1149.9999262969509</c:v>
                </c:pt>
                <c:pt idx="2">
                  <c:v>1124.9999262969509</c:v>
                </c:pt>
                <c:pt idx="3">
                  <c:v>1099.9999262969509</c:v>
                </c:pt>
                <c:pt idx="4">
                  <c:v>1074.9999262969509</c:v>
                </c:pt>
                <c:pt idx="5">
                  <c:v>1049.9999262969509</c:v>
                </c:pt>
                <c:pt idx="6">
                  <c:v>1024.9999262969509</c:v>
                </c:pt>
              </c:numCache>
            </c:numRef>
          </c:xVal>
          <c:yVal>
            <c:numRef>
              <c:f>Bonds!$AA$22:$AA$28</c:f>
              <c:numCache>
                <c:formatCode>0.0%</c:formatCode>
                <c:ptCount val="7"/>
                <c:pt idx="0">
                  <c:v>4.5833951861643331E-2</c:v>
                </c:pt>
                <c:pt idx="1">
                  <c:v>4.7066201887737656E-2</c:v>
                </c:pt>
                <c:pt idx="2">
                  <c:v>4.8513745977354542E-2</c:v>
                </c:pt>
                <c:pt idx="3">
                  <c:v>5.0280585550575504E-2</c:v>
                </c:pt>
                <c:pt idx="4">
                  <c:v>5.255440549596159E-2</c:v>
                </c:pt>
                <c:pt idx="5">
                  <c:v>5.5711870074483916E-2</c:v>
                </c:pt>
                <c:pt idx="6">
                  <c:v>6.0636270129327437E-2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3B6-4BF6-81D7-17420B6397E5}"/>
            </c:ext>
          </c:extLst>
        </c:ser>
        <c:ser>
          <c:idx val="1"/>
          <c:order val="2"/>
          <c:tx>
            <c:strRef>
              <c:f>Bonds!$V$20</c:f>
              <c:strCache>
                <c:ptCount val="1"/>
                <c:pt idx="0">
                  <c:v>Realized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xVal>
            <c:numRef>
              <c:f>Bonds!$P$22:$P$28</c:f>
              <c:numCache>
                <c:formatCode>#,##0;[Red]#,##0</c:formatCode>
                <c:ptCount val="7"/>
                <c:pt idx="0">
                  <c:v>1174.9999262969509</c:v>
                </c:pt>
                <c:pt idx="1">
                  <c:v>1149.9999262969509</c:v>
                </c:pt>
                <c:pt idx="2">
                  <c:v>1124.9999262969509</c:v>
                </c:pt>
                <c:pt idx="3">
                  <c:v>1099.9999262969509</c:v>
                </c:pt>
                <c:pt idx="4">
                  <c:v>1074.9999262969509</c:v>
                </c:pt>
                <c:pt idx="5">
                  <c:v>1049.9999262969509</c:v>
                </c:pt>
                <c:pt idx="6">
                  <c:v>1024.9999262969509</c:v>
                </c:pt>
              </c:numCache>
            </c:numRef>
          </c:xVal>
          <c:yVal>
            <c:numRef>
              <c:f>Bonds!$Y$22:$Y$28</c:f>
              <c:numCache>
                <c:formatCode>0.0%</c:formatCode>
                <c:ptCount val="7"/>
                <c:pt idx="0">
                  <c:v>3.7500002303220425E-2</c:v>
                </c:pt>
                <c:pt idx="1">
                  <c:v>3.8297874742697996E-2</c:v>
                </c:pt>
                <c:pt idx="2">
                  <c:v>3.9130437290463081E-2</c:v>
                </c:pt>
                <c:pt idx="3">
                  <c:v>4.0000002620553032E-2</c:v>
                </c:pt>
                <c:pt idx="4">
                  <c:v>4.0909093650113582E-2</c:v>
                </c:pt>
                <c:pt idx="5">
                  <c:v>4.186046798627361E-2</c:v>
                </c:pt>
                <c:pt idx="6">
                  <c:v>4.2857145865430789E-2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3B6-4BF6-81D7-17420B639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917120"/>
        <c:axId val="584917600"/>
      </c:scatterChart>
      <c:valAx>
        <c:axId val="584917120"/>
        <c:scaling>
          <c:orientation val="minMax"/>
          <c:max val="12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917600"/>
        <c:crosses val="autoZero"/>
        <c:crossBetween val="midCat"/>
        <c:majorUnit val="100"/>
      </c:valAx>
      <c:valAx>
        <c:axId val="584917600"/>
        <c:scaling>
          <c:orientation val="minMax"/>
          <c:max val="7.5000000000000011E-2"/>
          <c:min val="3.5000000000000003E-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917120"/>
        <c:crosses val="autoZero"/>
        <c:crossBetween val="midCat"/>
        <c:majorUnit val="2.0000000000000004E-2"/>
      </c:valAx>
      <c:spPr>
        <a:solidFill>
          <a:schemeClr val="bg1"/>
        </a:solidFill>
        <a:ln>
          <a:solidFill>
            <a:srgbClr val="D9D9D9"/>
          </a:solidFill>
        </a:ln>
        <a:effectLst/>
      </c:spPr>
    </c:plotArea>
    <c:legend>
      <c:legendPos val="r"/>
      <c:layout>
        <c:manualLayout>
          <c:xMode val="edge"/>
          <c:yMode val="edge"/>
          <c:x val="0.72656546667793798"/>
          <c:y val="0.15839207229935709"/>
          <c:w val="0.27343453332206208"/>
          <c:h val="0.275193758502700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5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449580</xdr:colOff>
      <xdr:row>8</xdr:row>
      <xdr:rowOff>53340</xdr:rowOff>
    </xdr:from>
    <xdr:to>
      <xdr:col>4</xdr:col>
      <xdr:colOff>259080</xdr:colOff>
      <xdr:row>19</xdr:row>
      <xdr:rowOff>99060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7598C17-02AE-A8FD-1339-25CFFBC9E1EE}"/>
            </a:ext>
          </a:extLst>
        </xdr:cNvPr>
        <xdr:cNvSpPr/>
      </xdr:nvSpPr>
      <xdr:spPr>
        <a:xfrm>
          <a:off x="1043940" y="1645920"/>
          <a:ext cx="1287780" cy="197358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426720</xdr:colOff>
      <xdr:row>8</xdr:row>
      <xdr:rowOff>53340</xdr:rowOff>
    </xdr:from>
    <xdr:to>
      <xdr:col>9</xdr:col>
      <xdr:colOff>350520</xdr:colOff>
      <xdr:row>25</xdr:row>
      <xdr:rowOff>91440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1C5E01D-7161-9B67-5923-27CD24327182}"/>
            </a:ext>
          </a:extLst>
        </xdr:cNvPr>
        <xdr:cNvSpPr/>
      </xdr:nvSpPr>
      <xdr:spPr>
        <a:xfrm>
          <a:off x="3810000" y="1645920"/>
          <a:ext cx="1653540" cy="301752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594360</xdr:colOff>
      <xdr:row>8</xdr:row>
      <xdr:rowOff>60960</xdr:rowOff>
    </xdr:from>
    <xdr:to>
      <xdr:col>14</xdr:col>
      <xdr:colOff>289560</xdr:colOff>
      <xdr:row>22</xdr:row>
      <xdr:rowOff>91440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89BAEB8-F7B1-8339-3E23-F8B681CAFB74}"/>
            </a:ext>
          </a:extLst>
        </xdr:cNvPr>
        <xdr:cNvSpPr/>
      </xdr:nvSpPr>
      <xdr:spPr>
        <a:xfrm>
          <a:off x="7269480" y="1653540"/>
          <a:ext cx="1165860" cy="248412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441960</xdr:colOff>
      <xdr:row>8</xdr:row>
      <xdr:rowOff>60960</xdr:rowOff>
    </xdr:from>
    <xdr:to>
      <xdr:col>15</xdr:col>
      <xdr:colOff>929640</xdr:colOff>
      <xdr:row>22</xdr:row>
      <xdr:rowOff>91440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BCBB442-C011-AC15-1D2C-3AE44348FE90}"/>
            </a:ext>
          </a:extLst>
        </xdr:cNvPr>
        <xdr:cNvSpPr/>
      </xdr:nvSpPr>
      <xdr:spPr>
        <a:xfrm>
          <a:off x="9105900" y="1653540"/>
          <a:ext cx="487680" cy="248412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27</xdr:col>
      <xdr:colOff>211223</xdr:colOff>
      <xdr:row>19</xdr:row>
      <xdr:rowOff>38327</xdr:rowOff>
    </xdr:from>
    <xdr:to>
      <xdr:col>29</xdr:col>
      <xdr:colOff>990601</xdr:colOff>
      <xdr:row>28</xdr:row>
      <xdr:rowOff>139988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84A9B8B-52E4-42AA-A398-F6AA733D8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220980</xdr:colOff>
      <xdr:row>26</xdr:row>
      <xdr:rowOff>129540</xdr:rowOff>
    </xdr:from>
    <xdr:to>
      <xdr:col>6</xdr:col>
      <xdr:colOff>777240</xdr:colOff>
      <xdr:row>28</xdr:row>
      <xdr:rowOff>91440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FFA17DF-2073-4B33-8A23-5584FAE9D2B0}"/>
            </a:ext>
          </a:extLst>
        </xdr:cNvPr>
        <xdr:cNvSpPr/>
      </xdr:nvSpPr>
      <xdr:spPr>
        <a:xfrm flipV="1">
          <a:off x="1455420" y="4396740"/>
          <a:ext cx="1546860" cy="32766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220980</xdr:colOff>
      <xdr:row>21</xdr:row>
      <xdr:rowOff>129540</xdr:rowOff>
    </xdr:from>
    <xdr:to>
      <xdr:col>6</xdr:col>
      <xdr:colOff>777240</xdr:colOff>
      <xdr:row>23</xdr:row>
      <xdr:rowOff>106680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01AFF7E-502B-5F1F-514E-BB8AFC84066E}"/>
            </a:ext>
          </a:extLst>
        </xdr:cNvPr>
        <xdr:cNvSpPr/>
      </xdr:nvSpPr>
      <xdr:spPr>
        <a:xfrm flipV="1">
          <a:off x="1455420" y="3512820"/>
          <a:ext cx="1546860" cy="32766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365760</xdr:colOff>
      <xdr:row>22</xdr:row>
      <xdr:rowOff>106680</xdr:rowOff>
    </xdr:from>
    <xdr:to>
      <xdr:col>11</xdr:col>
      <xdr:colOff>243840</xdr:colOff>
      <xdr:row>26</xdr:row>
      <xdr:rowOff>137160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310817E-7CD4-2DE2-4D9C-439C39B91BE7}"/>
            </a:ext>
          </a:extLst>
        </xdr:cNvPr>
        <xdr:cNvSpPr/>
      </xdr:nvSpPr>
      <xdr:spPr>
        <a:xfrm flipV="1">
          <a:off x="4419600" y="3665220"/>
          <a:ext cx="2186940" cy="73914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99060</xdr:colOff>
      <xdr:row>21</xdr:row>
      <xdr:rowOff>106680</xdr:rowOff>
    </xdr:from>
    <xdr:to>
      <xdr:col>24</xdr:col>
      <xdr:colOff>243840</xdr:colOff>
      <xdr:row>28</xdr:row>
      <xdr:rowOff>68580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A57A0EE-40E5-8F72-17D2-CB5BA31C9D14}"/>
            </a:ext>
          </a:extLst>
        </xdr:cNvPr>
        <xdr:cNvSpPr/>
      </xdr:nvSpPr>
      <xdr:spPr>
        <a:xfrm flipV="1">
          <a:off x="8412480" y="3489960"/>
          <a:ext cx="2240280" cy="121158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0.80833</cdr:x>
      <cdr:y>0.91531</cdr:y>
    </cdr:from>
    <cdr:to>
      <cdr:x>0.92931</cdr:x>
      <cdr:y>0.98355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C511ADC-985F-C097-8273-E3C063BB2B66}"/>
            </a:ext>
          </a:extLst>
        </cdr:cNvPr>
        <cdr:cNvSpPr txBox="1"/>
      </cdr:nvSpPr>
      <cdr:spPr>
        <a:xfrm xmlns:a="http://schemas.openxmlformats.org/drawingml/2006/main">
          <a:off x="1887320" y="1610858"/>
          <a:ext cx="282468" cy="120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0" rIns="0" rtlCol="0" anchor="ctr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en-US" sz="1000" b="1" kern="1200">
              <a:solidFill>
                <a:srgbClr val="A80000"/>
              </a:solidFill>
            </a:rPr>
            <a:t>Price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0.13166</cdr:x>
      <cdr:y>0.08511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A80E643-452C-C02B-3778-1367EBCB7FB6}"/>
            </a:ext>
          </a:extLst>
        </cdr:cNvPr>
        <cdr:cNvSpPr txBox="1"/>
      </cdr:nvSpPr>
      <cdr:spPr>
        <a:xfrm xmlns:a="http://schemas.openxmlformats.org/drawingml/2006/main">
          <a:off x="0" y="0"/>
          <a:ext cx="320040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0" rIns="0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 kern="1200">
              <a:solidFill>
                <a:srgbClr val="006800"/>
              </a:solidFill>
            </a:rPr>
            <a:t>Yield</a:t>
          </a:r>
          <a:endParaRPr lang="en-US" sz="950" b="1" kern="1200">
            <a:solidFill>
              <a:srgbClr val="006800"/>
            </a:solidFill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846250</xdr:colOff>
      <xdr:row>2</xdr:row>
      <xdr:rowOff>1</xdr:rowOff>
    </xdr:from>
    <xdr:to>
      <xdr:col>3</xdr:col>
      <xdr:colOff>8052</xdr:colOff>
      <xdr:row>8</xdr:row>
      <xdr:rowOff>8296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443E9A0-9AEA-4AAA-A9CE-5277DAE19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10" y="861061"/>
          <a:ext cx="6004562" cy="118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944880</xdr:colOff>
      <xdr:row>15</xdr:row>
      <xdr:rowOff>160061</xdr:rowOff>
    </xdr:from>
    <xdr:to>
      <xdr:col>2</xdr:col>
      <xdr:colOff>944880</xdr:colOff>
      <xdr:row>25</xdr:row>
      <xdr:rowOff>121961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6689F72B-80E0-F2CF-38D8-D1AA817588BF}"/>
            </a:ext>
          </a:extLst>
        </xdr:cNvPr>
        <xdr:cNvCxnSpPr>
          <a:cxnSpLocks/>
        </xdr:cNvCxnSpPr>
      </xdr:nvCxnSpPr>
      <xdr:spPr>
        <a:xfrm>
          <a:off x="2011680" y="3787181"/>
          <a:ext cx="0" cy="1645920"/>
        </a:xfrm>
        <a:prstGeom prst="line">
          <a:avLst/>
        </a:prstGeom>
        <a:noFill/>
        <a:ln w="12700">
          <a:solidFill>
            <a:srgbClr val="003399"/>
          </a:solidFill>
          <a:prstDash val="solid"/>
          <a:headEnd type="none"/>
          <a:tailEnd type="none" w="lg" len="lg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 editAs="absolute">
    <xdr:from>
      <xdr:col>2</xdr:col>
      <xdr:colOff>7621</xdr:colOff>
      <xdr:row>24</xdr:row>
      <xdr:rowOff>135101</xdr:rowOff>
    </xdr:from>
    <xdr:to>
      <xdr:col>2</xdr:col>
      <xdr:colOff>2331721</xdr:colOff>
      <xdr:row>26</xdr:row>
      <xdr:rowOff>74598</xdr:rowOff>
    </xdr:to>
    <xdr:grpSp>
      <xdr:nvGrpSpPr>
        <xdr:cNvPr id="51" name="Group 50">
          <a:extLst>
            <a:ext uri="{FF2B5EF4-FFF2-40B4-BE49-F238E27FC236}">
              <a16:creationId xmlns:a16="http://schemas.microsoft.com/office/drawing/2014/main" id="{848A5A8B-CB46-7A3D-9CD0-6783179D6570}"/>
            </a:ext>
          </a:extLst>
        </xdr:cNvPr>
        <xdr:cNvGrpSpPr/>
      </xdr:nvGrpSpPr>
      <xdr:grpSpPr>
        <a:xfrm>
          <a:off x="1074421" y="5263361"/>
          <a:ext cx="2324100" cy="305257"/>
          <a:chOff x="1074421" y="5321176"/>
          <a:chExt cx="2324100" cy="193889"/>
        </a:xfrm>
      </xdr:grpSpPr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E53EE61D-B43E-18B7-E7F0-9131DC5445CC}"/>
              </a:ext>
            </a:extLst>
          </xdr:cNvPr>
          <xdr:cNvSpPr>
            <a:spLocks/>
          </xdr:cNvSpPr>
        </xdr:nvSpPr>
        <xdr:spPr>
          <a:xfrm>
            <a:off x="1084473" y="5324865"/>
            <a:ext cx="2307322" cy="190200"/>
          </a:xfrm>
          <a:prstGeom prst="rect">
            <a:avLst/>
          </a:prstGeom>
          <a:solidFill>
            <a:srgbClr val="C5D9F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Right Bracket 5">
            <a:extLst>
              <a:ext uri="{FF2B5EF4-FFF2-40B4-BE49-F238E27FC236}">
                <a16:creationId xmlns:a16="http://schemas.microsoft.com/office/drawing/2014/main" id="{7848C966-CF9E-174E-C5E4-ECF9DBD0646F}"/>
              </a:ext>
            </a:extLst>
          </xdr:cNvPr>
          <xdr:cNvSpPr>
            <a:spLocks/>
          </xdr:cNvSpPr>
        </xdr:nvSpPr>
        <xdr:spPr>
          <a:xfrm rot="16200000" flipV="1">
            <a:off x="2141144" y="4254453"/>
            <a:ext cx="190654" cy="2324100"/>
          </a:xfrm>
          <a:prstGeom prst="rightBracket">
            <a:avLst>
              <a:gd name="adj" fmla="val 0"/>
            </a:avLst>
          </a:prstGeom>
          <a:ln w="952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tlCol="0" anchor="ctr"/>
          <a:lstStyle/>
          <a:p>
            <a:pPr algn="l"/>
            <a:endParaRPr lang="en-US" sz="1100"/>
          </a:p>
        </xdr:txBody>
      </xdr:sp>
    </xdr:grpSp>
    <xdr:clientData/>
  </xdr:twoCellAnchor>
  <xdr:twoCellAnchor editAs="absolute">
    <xdr:from>
      <xdr:col>2</xdr:col>
      <xdr:colOff>7621</xdr:colOff>
      <xdr:row>9</xdr:row>
      <xdr:rowOff>112395</xdr:rowOff>
    </xdr:from>
    <xdr:to>
      <xdr:col>2</xdr:col>
      <xdr:colOff>1714501</xdr:colOff>
      <xdr:row>18</xdr:row>
      <xdr:rowOff>0</xdr:rowOff>
    </xdr:to>
    <xdr:grpSp>
      <xdr:nvGrpSpPr>
        <xdr:cNvPr id="56" name="Group 55">
          <a:extLst>
            <a:ext uri="{FF2B5EF4-FFF2-40B4-BE49-F238E27FC236}">
              <a16:creationId xmlns:a16="http://schemas.microsoft.com/office/drawing/2014/main" id="{DD6AA636-3BE1-D822-5316-0ACC14CA09EE}"/>
            </a:ext>
          </a:extLst>
        </xdr:cNvPr>
        <xdr:cNvGrpSpPr>
          <a:grpSpLocks noChangeAspect="1"/>
        </xdr:cNvGrpSpPr>
      </xdr:nvGrpSpPr>
      <xdr:grpSpPr>
        <a:xfrm>
          <a:off x="1074421" y="2421255"/>
          <a:ext cx="1706880" cy="1609725"/>
          <a:chOff x="1074421" y="2459355"/>
          <a:chExt cx="1706880" cy="1609725"/>
        </a:xfrm>
      </xdr:grpSpPr>
      <xdr:sp macro="" textlink="">
        <xdr:nvSpPr>
          <xdr:cNvPr id="33" name="Rectangle 35">
            <a:extLst>
              <a:ext uri="{FF2B5EF4-FFF2-40B4-BE49-F238E27FC236}">
                <a16:creationId xmlns:a16="http://schemas.microsoft.com/office/drawing/2014/main" id="{9659F66E-D0B9-3C77-DE90-79F9C0E5D88E}"/>
              </a:ext>
            </a:extLst>
          </xdr:cNvPr>
          <xdr:cNvSpPr>
            <a:spLocks noChangeArrowheads="1"/>
          </xdr:cNvSpPr>
        </xdr:nvSpPr>
        <xdr:spPr bwMode="auto">
          <a:xfrm>
            <a:off x="1074421" y="2459355"/>
            <a:ext cx="1706880" cy="1609725"/>
          </a:xfrm>
          <a:prstGeom prst="rect">
            <a:avLst/>
          </a:prstGeom>
          <a:solidFill>
            <a:srgbClr val="D3E2F5"/>
          </a:solidFill>
          <a:ln w="0">
            <a:solidFill>
              <a:schemeClr val="tx1"/>
            </a:solidFill>
          </a:ln>
        </xdr:spPr>
      </xdr: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4528FB0C-2167-0FAF-1844-84FCB715490C}"/>
              </a:ext>
            </a:extLst>
          </xdr:cNvPr>
          <xdr:cNvGrpSpPr/>
        </xdr:nvGrpSpPr>
        <xdr:grpSpPr>
          <a:xfrm>
            <a:off x="1074421" y="2459355"/>
            <a:ext cx="1706880" cy="594360"/>
            <a:chOff x="1074421" y="2459355"/>
            <a:chExt cx="1920240" cy="594360"/>
          </a:xfrm>
        </xdr:grpSpPr>
        <xdr:sp macro="" textlink="">
          <xdr:nvSpPr>
            <xdr:cNvPr id="36" name="Rectangle 35">
              <a:extLst>
                <a:ext uri="{FF2B5EF4-FFF2-40B4-BE49-F238E27FC236}">
                  <a16:creationId xmlns:a16="http://schemas.microsoft.com/office/drawing/2014/main" id="{B1533142-6950-625C-3243-77387B8ADA4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74421" y="2459355"/>
              <a:ext cx="1920240" cy="594360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</xdr:sp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D02975F1-3BC3-2E53-396A-DBAF3A1FBA1E}"/>
                </a:ext>
              </a:extLst>
            </xdr:cNvPr>
            <xdr:cNvGrpSpPr/>
          </xdr:nvGrpSpPr>
          <xdr:grpSpPr>
            <a:xfrm>
              <a:off x="1120141" y="2497459"/>
              <a:ext cx="1828800" cy="518165"/>
              <a:chOff x="1120141" y="2497459"/>
              <a:chExt cx="1828800" cy="518165"/>
            </a:xfrm>
          </xdr:grpSpPr>
          <xdr:sp macro="" textlink="">
            <xdr:nvSpPr>
              <xdr:cNvPr id="38" name="Rectangle 75">
                <a:extLst>
                  <a:ext uri="{FF2B5EF4-FFF2-40B4-BE49-F238E27FC236}">
                    <a16:creationId xmlns:a16="http://schemas.microsoft.com/office/drawing/2014/main" id="{4E27BEAB-7EE7-AB5B-DA3A-B80D565623A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120141" y="2497459"/>
                <a:ext cx="1828800" cy="2705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horzOverflow="clip" wrap="square" lIns="0" tIns="0" rIns="0" bIns="0" anchor="ctr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900" b="0" i="0" u="none" strike="noStrike" baseline="0">
                    <a:solidFill>
                      <a:srgbClr val="FFFFFF"/>
                    </a:solidFill>
                    <a:latin typeface="Aptos Display" panose="020B0004020202020204" pitchFamily="34" charset="0"/>
                    <a:ea typeface="Calibri"/>
                    <a:cs typeface="Calibri"/>
                  </a:rPr>
                  <a:t>F</a:t>
                </a:r>
                <a:r>
                  <a:rPr lang="en-US" sz="1600" b="0" i="0" u="none" strike="noStrike" baseline="0">
                    <a:solidFill>
                      <a:srgbClr val="FFFFFF"/>
                    </a:solidFill>
                    <a:latin typeface="Aptos Display" panose="020B0004020202020204" pitchFamily="34" charset="0"/>
                    <a:ea typeface="Calibri"/>
                    <a:cs typeface="Calibri"/>
                  </a:rPr>
                  <a:t>INANCIAL</a:t>
                </a:r>
              </a:p>
            </xdr:txBody>
          </xdr:sp>
          <xdr:sp macro="" textlink="">
            <xdr:nvSpPr>
              <xdr:cNvPr id="39" name="Rectangle 75">
                <a:extLst>
                  <a:ext uri="{FF2B5EF4-FFF2-40B4-BE49-F238E27FC236}">
                    <a16:creationId xmlns:a16="http://schemas.microsoft.com/office/drawing/2014/main" id="{7CB97CA1-9D54-E4D1-D6C8-0CFF2DE139D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120141" y="2745061"/>
                <a:ext cx="1828800" cy="2705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horzOverflow="clip" wrap="square" lIns="0" tIns="0" rIns="0" bIns="0" anchor="ctr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900" b="0" i="0" u="none" strike="noStrike" baseline="0">
                    <a:solidFill>
                      <a:srgbClr val="FFFFFF"/>
                    </a:solidFill>
                    <a:latin typeface="Aptos Display" panose="020B0004020202020204" pitchFamily="34" charset="0"/>
                    <a:ea typeface="Calibri"/>
                    <a:cs typeface="Calibri"/>
                  </a:rPr>
                  <a:t>S</a:t>
                </a:r>
                <a:r>
                  <a:rPr lang="en-US" sz="1600" b="0" i="0" u="none" strike="noStrike" baseline="0">
                    <a:solidFill>
                      <a:srgbClr val="FFFFFF"/>
                    </a:solidFill>
                    <a:latin typeface="Aptos Display" panose="020B0004020202020204" pitchFamily="34" charset="0"/>
                    <a:ea typeface="Calibri"/>
                    <a:cs typeface="Calibri"/>
                  </a:rPr>
                  <a:t>TATEMENTS</a:t>
                </a:r>
              </a:p>
            </xdr:txBody>
          </xdr:sp>
        </xdr:grpSp>
      </xdr:grpSp>
      <xdr:sp macro="" textlink="">
        <xdr:nvSpPr>
          <xdr:cNvPr id="35" name="Rectangle 38">
            <a:extLst>
              <a:ext uri="{FF2B5EF4-FFF2-40B4-BE49-F238E27FC236}">
                <a16:creationId xmlns:a16="http://schemas.microsoft.com/office/drawing/2014/main" id="{078D9935-BDB7-9296-72D3-64512176FD3D}"/>
              </a:ext>
            </a:extLst>
          </xdr:cNvPr>
          <xdr:cNvSpPr>
            <a:spLocks noChangeArrowheads="1"/>
          </xdr:cNvSpPr>
        </xdr:nvSpPr>
        <xdr:spPr bwMode="auto">
          <a:xfrm>
            <a:off x="1211581" y="3101340"/>
            <a:ext cx="1463040" cy="952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horzOverflow="clip" wrap="square" lIns="0" tIns="0" rIns="0" bIns="0" anchor="t">
            <a:noAutofit/>
          </a:bodyPr>
          <a:lstStyle/>
          <a:p>
            <a:pPr algn="l" rtl="0">
              <a:defRPr sz="1000"/>
            </a:pPr>
            <a:r>
              <a:rPr lang="en-US" sz="1450" b="0" i="0" u="none" strike="noStrike" baseline="0">
                <a:solidFill>
                  <a:srgbClr val="000000"/>
                </a:solidFill>
                <a:latin typeface="Aptos" panose="020B0004020202020204" pitchFamily="34" charset="0"/>
              </a:rPr>
              <a:t>Income Statement</a:t>
            </a:r>
          </a:p>
          <a:p>
            <a:pPr algn="l" rtl="0">
              <a:defRPr sz="1000"/>
            </a:pPr>
            <a:r>
              <a:rPr lang="en-US" sz="1450" b="0" i="0" u="none" strike="noStrike" baseline="0">
                <a:solidFill>
                  <a:srgbClr val="000000"/>
                </a:solidFill>
                <a:latin typeface="Aptos" panose="020B0004020202020204" pitchFamily="34" charset="0"/>
              </a:rPr>
              <a:t>Balance Sheet</a:t>
            </a:r>
          </a:p>
          <a:p>
            <a:pPr algn="l" rtl="0">
              <a:defRPr sz="1000"/>
            </a:pPr>
            <a:r>
              <a:rPr lang="en-US" sz="1450" b="0" i="0" u="none" strike="noStrike" baseline="0">
                <a:solidFill>
                  <a:srgbClr val="000000"/>
                </a:solidFill>
                <a:latin typeface="Aptos" panose="020B0004020202020204" pitchFamily="34" charset="0"/>
              </a:rPr>
              <a:t>Cash Flows</a:t>
            </a:r>
          </a:p>
          <a:p>
            <a:pPr algn="l" rtl="0">
              <a:defRPr sz="1000"/>
            </a:pPr>
            <a:r>
              <a:rPr lang="en-US" sz="1450" b="0" i="0" u="none" strike="noStrike" baseline="0">
                <a:solidFill>
                  <a:srgbClr val="000000"/>
                </a:solidFill>
                <a:latin typeface="Aptos" panose="020B0004020202020204" pitchFamily="34" charset="0"/>
              </a:rPr>
              <a:t>Pro Formas</a:t>
            </a:r>
          </a:p>
        </xdr:txBody>
      </xdr:sp>
    </xdr:grpSp>
    <xdr:clientData/>
  </xdr:twoCellAnchor>
  <xdr:twoCellAnchor editAs="absolute">
    <xdr:from>
      <xdr:col>2</xdr:col>
      <xdr:colOff>5318760</xdr:colOff>
      <xdr:row>15</xdr:row>
      <xdr:rowOff>160020</xdr:rowOff>
    </xdr:from>
    <xdr:to>
      <xdr:col>2</xdr:col>
      <xdr:colOff>5318760</xdr:colOff>
      <xdr:row>25</xdr:row>
      <xdr:rowOff>121920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4BF87763-2AED-18B4-5D79-C9033213B652}"/>
            </a:ext>
          </a:extLst>
        </xdr:cNvPr>
        <xdr:cNvCxnSpPr>
          <a:cxnSpLocks/>
        </xdr:cNvCxnSpPr>
      </xdr:nvCxnSpPr>
      <xdr:spPr>
        <a:xfrm>
          <a:off x="6385560" y="3787140"/>
          <a:ext cx="0" cy="1645920"/>
        </a:xfrm>
        <a:prstGeom prst="line">
          <a:avLst/>
        </a:prstGeom>
        <a:noFill/>
        <a:ln w="12700">
          <a:solidFill>
            <a:srgbClr val="008200"/>
          </a:solidFill>
          <a:prstDash val="solid"/>
          <a:headEnd type="none"/>
          <a:tailEnd type="none" w="lg" len="lg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 editAs="absolute">
    <xdr:from>
      <xdr:col>2</xdr:col>
      <xdr:colOff>4450080</xdr:colOff>
      <xdr:row>24</xdr:row>
      <xdr:rowOff>133886</xdr:rowOff>
    </xdr:from>
    <xdr:to>
      <xdr:col>3</xdr:col>
      <xdr:colOff>426720</xdr:colOff>
      <xdr:row>26</xdr:row>
      <xdr:rowOff>76746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78894A20-6DB9-CC84-5B2C-4A9798B8A678}"/>
            </a:ext>
          </a:extLst>
        </xdr:cNvPr>
        <xdr:cNvGrpSpPr/>
      </xdr:nvGrpSpPr>
      <xdr:grpSpPr>
        <a:xfrm>
          <a:off x="5516880" y="5262146"/>
          <a:ext cx="1965960" cy="308620"/>
          <a:chOff x="5516880" y="5319484"/>
          <a:chExt cx="1769745" cy="196036"/>
        </a:xfrm>
      </xdr:grpSpPr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5D62B3EE-939F-6177-42D0-CDB9075E9871}"/>
              </a:ext>
            </a:extLst>
          </xdr:cNvPr>
          <xdr:cNvSpPr>
            <a:spLocks/>
          </xdr:cNvSpPr>
        </xdr:nvSpPr>
        <xdr:spPr>
          <a:xfrm>
            <a:off x="5526591" y="5326196"/>
            <a:ext cx="1756086" cy="189324"/>
          </a:xfrm>
          <a:prstGeom prst="rect">
            <a:avLst/>
          </a:prstGeom>
          <a:solidFill>
            <a:srgbClr val="EBF1DE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" name="Right Bracket 10">
            <a:extLst>
              <a:ext uri="{FF2B5EF4-FFF2-40B4-BE49-F238E27FC236}">
                <a16:creationId xmlns:a16="http://schemas.microsoft.com/office/drawing/2014/main" id="{87B12EC5-48A8-AA05-33D9-E857701EE6A4}"/>
              </a:ext>
            </a:extLst>
          </xdr:cNvPr>
          <xdr:cNvSpPr/>
        </xdr:nvSpPr>
        <xdr:spPr>
          <a:xfrm rot="16200000" flipV="1">
            <a:off x="6306256" y="4530108"/>
            <a:ext cx="190993" cy="1769745"/>
          </a:xfrm>
          <a:prstGeom prst="rightBracket">
            <a:avLst>
              <a:gd name="adj" fmla="val 0"/>
            </a:avLst>
          </a:prstGeom>
          <a:ln w="9525">
            <a:solidFill>
              <a:schemeClr val="tx1"/>
            </a:solidFill>
            <a:prstDash val="solid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tlCol="0" anchor="ctr"/>
          <a:lstStyle/>
          <a:p>
            <a:pPr algn="l"/>
            <a:endParaRPr lang="en-US" sz="1100"/>
          </a:p>
        </xdr:txBody>
      </xdr:sp>
    </xdr:grpSp>
    <xdr:clientData/>
  </xdr:twoCellAnchor>
  <xdr:twoCellAnchor editAs="absolute">
    <xdr:from>
      <xdr:col>2</xdr:col>
      <xdr:colOff>4297680</xdr:colOff>
      <xdr:row>9</xdr:row>
      <xdr:rowOff>112395</xdr:rowOff>
    </xdr:from>
    <xdr:to>
      <xdr:col>3</xdr:col>
      <xdr:colOff>15240</xdr:colOff>
      <xdr:row>18</xdr:row>
      <xdr:rowOff>0</xdr:rowOff>
    </xdr:to>
    <xdr:grpSp>
      <xdr:nvGrpSpPr>
        <xdr:cNvPr id="46" name="Group 45">
          <a:extLst>
            <a:ext uri="{FF2B5EF4-FFF2-40B4-BE49-F238E27FC236}">
              <a16:creationId xmlns:a16="http://schemas.microsoft.com/office/drawing/2014/main" id="{25F7020A-B8E7-B587-32DB-C518E8DDE2A8}"/>
            </a:ext>
          </a:extLst>
        </xdr:cNvPr>
        <xdr:cNvGrpSpPr>
          <a:grpSpLocks noChangeAspect="1"/>
        </xdr:cNvGrpSpPr>
      </xdr:nvGrpSpPr>
      <xdr:grpSpPr>
        <a:xfrm>
          <a:off x="5364480" y="2421255"/>
          <a:ext cx="1706880" cy="1609725"/>
          <a:chOff x="5364480" y="2459355"/>
          <a:chExt cx="1706880" cy="1609725"/>
        </a:xfrm>
      </xdr:grpSpPr>
      <xdr:sp macro="" textlink="">
        <xdr:nvSpPr>
          <xdr:cNvPr id="26" name="Rectangle 35">
            <a:extLst>
              <a:ext uri="{FF2B5EF4-FFF2-40B4-BE49-F238E27FC236}">
                <a16:creationId xmlns:a16="http://schemas.microsoft.com/office/drawing/2014/main" id="{3ED52948-08C2-2D3C-F80E-90A4720A7558}"/>
              </a:ext>
            </a:extLst>
          </xdr:cNvPr>
          <xdr:cNvSpPr>
            <a:spLocks noChangeArrowheads="1"/>
          </xdr:cNvSpPr>
        </xdr:nvSpPr>
        <xdr:spPr bwMode="auto">
          <a:xfrm>
            <a:off x="5364480" y="2459355"/>
            <a:ext cx="1706880" cy="1609725"/>
          </a:xfrm>
          <a:prstGeom prst="rect">
            <a:avLst/>
          </a:prstGeom>
          <a:solidFill>
            <a:srgbClr val="E2ECCC"/>
          </a:solidFill>
          <a:ln w="0">
            <a:solidFill>
              <a:schemeClr val="tx1"/>
            </a:solidFill>
          </a:ln>
        </xdr:spPr>
      </xdr:sp>
      <xdr:grpSp>
        <xdr:nvGrpSpPr>
          <xdr:cNvPr id="42" name="Group 41">
            <a:extLst>
              <a:ext uri="{FF2B5EF4-FFF2-40B4-BE49-F238E27FC236}">
                <a16:creationId xmlns:a16="http://schemas.microsoft.com/office/drawing/2014/main" id="{DC4D80BC-8670-5B47-3B52-9BC725A23662}"/>
              </a:ext>
            </a:extLst>
          </xdr:cNvPr>
          <xdr:cNvGrpSpPr/>
        </xdr:nvGrpSpPr>
        <xdr:grpSpPr>
          <a:xfrm>
            <a:off x="5364480" y="2459355"/>
            <a:ext cx="1706880" cy="594360"/>
            <a:chOff x="5364480" y="2459355"/>
            <a:chExt cx="1920240" cy="594360"/>
          </a:xfrm>
        </xdr:grpSpPr>
        <xdr:sp macro="" textlink="">
          <xdr:nvSpPr>
            <xdr:cNvPr id="29" name="Rectangle 35">
              <a:extLst>
                <a:ext uri="{FF2B5EF4-FFF2-40B4-BE49-F238E27FC236}">
                  <a16:creationId xmlns:a16="http://schemas.microsoft.com/office/drawing/2014/main" id="{12208E33-A68B-B43B-943E-03A0276F1E4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64480" y="2459355"/>
              <a:ext cx="1920240" cy="594360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</xdr:sp>
        <xdr:grpSp>
          <xdr:nvGrpSpPr>
            <xdr:cNvPr id="15" name="Group 14">
              <a:extLst>
                <a:ext uri="{FF2B5EF4-FFF2-40B4-BE49-F238E27FC236}">
                  <a16:creationId xmlns:a16="http://schemas.microsoft.com/office/drawing/2014/main" id="{60668DC8-D91A-2C97-B2BF-FF6DE332C129}"/>
                </a:ext>
              </a:extLst>
            </xdr:cNvPr>
            <xdr:cNvGrpSpPr/>
          </xdr:nvGrpSpPr>
          <xdr:grpSpPr>
            <a:xfrm>
              <a:off x="5410200" y="2497459"/>
              <a:ext cx="1828800" cy="518165"/>
              <a:chOff x="5410200" y="2497459"/>
              <a:chExt cx="1828800" cy="518165"/>
            </a:xfrm>
          </xdr:grpSpPr>
          <xdr:sp macro="" textlink="">
            <xdr:nvSpPr>
              <xdr:cNvPr id="31" name="Rectangle 86">
                <a:extLst>
                  <a:ext uri="{FF2B5EF4-FFF2-40B4-BE49-F238E27FC236}">
                    <a16:creationId xmlns:a16="http://schemas.microsoft.com/office/drawing/2014/main" id="{129D77CA-568F-4459-3AF0-070EE67B9AE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410200" y="2497459"/>
                <a:ext cx="1828800" cy="2705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horzOverflow="clip" wrap="square" lIns="0" tIns="0" rIns="0" bIns="0" anchor="ctr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900" b="0" i="0" u="none" strike="noStrike" baseline="0">
                    <a:solidFill>
                      <a:srgbClr val="FFFFFF"/>
                    </a:solidFill>
                    <a:latin typeface="Aptos Display" panose="020B0004020202020204" pitchFamily="34" charset="0"/>
                    <a:ea typeface="Calibri"/>
                    <a:cs typeface="Calibri"/>
                  </a:rPr>
                  <a:t>C</a:t>
                </a:r>
                <a:r>
                  <a:rPr lang="en-US" sz="1600" b="0" i="0" u="none" strike="noStrike" baseline="0">
                    <a:solidFill>
                      <a:srgbClr val="FFFFFF"/>
                    </a:solidFill>
                    <a:latin typeface="Aptos Display" panose="020B0004020202020204" pitchFamily="34" charset="0"/>
                    <a:ea typeface="Calibri"/>
                    <a:cs typeface="Calibri"/>
                  </a:rPr>
                  <a:t>APITAL </a:t>
                </a:r>
                <a:r>
                  <a:rPr lang="en-US" sz="1500" b="0" i="0" u="none" strike="noStrike" baseline="0">
                    <a:solidFill>
                      <a:srgbClr val="FFFFFF"/>
                    </a:solidFill>
                    <a:latin typeface="Aptos Display" panose="020B0004020202020204" pitchFamily="34" charset="0"/>
                    <a:ea typeface="Calibri"/>
                    <a:cs typeface="Calibri"/>
                  </a:rPr>
                  <a:t>&amp;</a:t>
                </a:r>
              </a:p>
            </xdr:txBody>
          </xdr:sp>
          <xdr:sp macro="" textlink="">
            <xdr:nvSpPr>
              <xdr:cNvPr id="32" name="Rectangle 86">
                <a:extLst>
                  <a:ext uri="{FF2B5EF4-FFF2-40B4-BE49-F238E27FC236}">
                    <a16:creationId xmlns:a16="http://schemas.microsoft.com/office/drawing/2014/main" id="{5BB7A817-26F2-67D0-FA4A-C85150E9F18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410200" y="2745062"/>
                <a:ext cx="1828800" cy="2705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horzOverflow="clip" wrap="square" lIns="0" tIns="0" rIns="0" bIns="0" anchor="ctr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900" b="0" i="0" u="none" strike="noStrike" baseline="0">
                    <a:solidFill>
                      <a:srgbClr val="FFFFFF"/>
                    </a:solidFill>
                    <a:latin typeface="Aptos Display" panose="020B0004020202020204" pitchFamily="34" charset="0"/>
                    <a:ea typeface="Calibri"/>
                    <a:cs typeface="Calibri"/>
                  </a:rPr>
                  <a:t>V</a:t>
                </a:r>
                <a:r>
                  <a:rPr lang="en-US" sz="1600" b="0" i="0" u="none" strike="noStrike" baseline="0">
                    <a:solidFill>
                      <a:srgbClr val="FFFFFF"/>
                    </a:solidFill>
                    <a:latin typeface="Aptos Display" panose="020B0004020202020204" pitchFamily="34" charset="0"/>
                    <a:ea typeface="Calibri"/>
                    <a:cs typeface="Calibri"/>
                  </a:rPr>
                  <a:t>ALUATION</a:t>
                </a:r>
              </a:p>
            </xdr:txBody>
          </xdr:sp>
        </xdr:grpSp>
      </xdr:grpSp>
      <xdr:sp macro="" textlink="">
        <xdr:nvSpPr>
          <xdr:cNvPr id="28" name="Rectangle 46">
            <a:extLst>
              <a:ext uri="{FF2B5EF4-FFF2-40B4-BE49-F238E27FC236}">
                <a16:creationId xmlns:a16="http://schemas.microsoft.com/office/drawing/2014/main" id="{CB7FD0F8-35A6-4B7C-2CEB-D7CE5A9FCC4E}"/>
              </a:ext>
            </a:extLst>
          </xdr:cNvPr>
          <xdr:cNvSpPr>
            <a:spLocks noChangeArrowheads="1"/>
          </xdr:cNvSpPr>
        </xdr:nvSpPr>
        <xdr:spPr bwMode="auto">
          <a:xfrm>
            <a:off x="5501640" y="3101340"/>
            <a:ext cx="1463040" cy="952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horzOverflow="clip" wrap="square" lIns="0" tIns="0" rIns="0" bIns="0" anchor="t">
            <a:noAutofit/>
          </a:bodyPr>
          <a:lstStyle/>
          <a:p>
            <a:pPr algn="l" rtl="0">
              <a:defRPr sz="1000"/>
            </a:pPr>
            <a:r>
              <a:rPr lang="en-US" sz="1450" b="0" i="0" u="none" strike="noStrike" baseline="0">
                <a:solidFill>
                  <a:srgbClr val="000000"/>
                </a:solidFill>
                <a:latin typeface="Aptos" panose="020B0004020202020204" pitchFamily="34" charset="0"/>
              </a:rPr>
              <a:t>Cost of Debt</a:t>
            </a:r>
          </a:p>
          <a:p>
            <a:pPr algn="l" rtl="0">
              <a:defRPr sz="1000"/>
            </a:pPr>
            <a:r>
              <a:rPr lang="en-US" sz="1450" b="0" i="0" u="none" strike="noStrike" baseline="0">
                <a:solidFill>
                  <a:srgbClr val="000000"/>
                </a:solidFill>
                <a:latin typeface="Aptos" panose="020B0004020202020204" pitchFamily="34" charset="0"/>
              </a:rPr>
              <a:t>Return on Equity</a:t>
            </a:r>
          </a:p>
          <a:p>
            <a:pPr algn="l" rtl="0">
              <a:defRPr sz="1000"/>
            </a:pPr>
            <a:r>
              <a:rPr lang="en-US" sz="1450" b="0" i="0" u="none" strike="noStrike" baseline="0">
                <a:solidFill>
                  <a:srgbClr val="000000"/>
                </a:solidFill>
                <a:latin typeface="Aptos" panose="020B0004020202020204" pitchFamily="34" charset="0"/>
              </a:rPr>
              <a:t>Valuation</a:t>
            </a:r>
          </a:p>
          <a:p>
            <a:pPr algn="l" rtl="0">
              <a:defRPr sz="1000"/>
            </a:pPr>
            <a:r>
              <a:rPr lang="en-US" sz="1450" b="0" i="0" u="none" strike="noStrike" baseline="0">
                <a:solidFill>
                  <a:srgbClr val="000000"/>
                </a:solidFill>
                <a:latin typeface="Aptos" panose="020B0004020202020204" pitchFamily="34" charset="0"/>
              </a:rPr>
              <a:t>Bond Price </a:t>
            </a:r>
            <a:r>
              <a:rPr lang="en-US" sz="1300" b="0" i="0" u="none" strike="noStrike" baseline="0">
                <a:solidFill>
                  <a:srgbClr val="000000"/>
                </a:solidFill>
                <a:latin typeface="Aptos" panose="020B0004020202020204" pitchFamily="34" charset="0"/>
              </a:rPr>
              <a:t>&amp;</a:t>
            </a:r>
            <a:r>
              <a:rPr lang="en-US" sz="1450" b="0" i="0" u="none" strike="noStrike" baseline="0">
                <a:solidFill>
                  <a:srgbClr val="000000"/>
                </a:solidFill>
                <a:latin typeface="Aptos" panose="020B0004020202020204" pitchFamily="34" charset="0"/>
              </a:rPr>
              <a:t> Yield</a:t>
            </a:r>
          </a:p>
        </xdr:txBody>
      </xdr:sp>
    </xdr:grpSp>
    <xdr:clientData/>
  </xdr:twoCellAnchor>
  <xdr:twoCellAnchor editAs="absolute">
    <xdr:from>
      <xdr:col>2</xdr:col>
      <xdr:colOff>3086100</xdr:colOff>
      <xdr:row>15</xdr:row>
      <xdr:rowOff>160061</xdr:rowOff>
    </xdr:from>
    <xdr:to>
      <xdr:col>2</xdr:col>
      <xdr:colOff>3086100</xdr:colOff>
      <xdr:row>25</xdr:row>
      <xdr:rowOff>121961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E26C2E2D-E692-5B80-6CBD-549844F4D015}"/>
            </a:ext>
          </a:extLst>
        </xdr:cNvPr>
        <xdr:cNvCxnSpPr>
          <a:cxnSpLocks noChangeAspect="1"/>
        </xdr:cNvCxnSpPr>
      </xdr:nvCxnSpPr>
      <xdr:spPr>
        <a:xfrm>
          <a:off x="4152900" y="3787181"/>
          <a:ext cx="0" cy="1645920"/>
        </a:xfrm>
        <a:prstGeom prst="line">
          <a:avLst/>
        </a:prstGeom>
        <a:noFill/>
        <a:ln w="12700">
          <a:solidFill>
            <a:srgbClr val="C00000"/>
          </a:solidFill>
          <a:prstDash val="solid"/>
          <a:headEnd type="none"/>
          <a:tailEnd type="none" w="lg" len="lg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 editAs="absolute">
    <xdr:from>
      <xdr:col>2</xdr:col>
      <xdr:colOff>2430781</xdr:colOff>
      <xdr:row>24</xdr:row>
      <xdr:rowOff>137160</xdr:rowOff>
    </xdr:from>
    <xdr:to>
      <xdr:col>2</xdr:col>
      <xdr:colOff>4351021</xdr:colOff>
      <xdr:row>26</xdr:row>
      <xdr:rowOff>70965</xdr:rowOff>
    </xdr:to>
    <xdr:grpSp>
      <xdr:nvGrpSpPr>
        <xdr:cNvPr id="50" name="Group 49">
          <a:extLst>
            <a:ext uri="{FF2B5EF4-FFF2-40B4-BE49-F238E27FC236}">
              <a16:creationId xmlns:a16="http://schemas.microsoft.com/office/drawing/2014/main" id="{C0431787-31E1-7082-0FBD-C781041AF025}"/>
            </a:ext>
          </a:extLst>
        </xdr:cNvPr>
        <xdr:cNvGrpSpPr/>
      </xdr:nvGrpSpPr>
      <xdr:grpSpPr>
        <a:xfrm>
          <a:off x="3497581" y="5265420"/>
          <a:ext cx="1920240" cy="299565"/>
          <a:chOff x="3400641" y="5324865"/>
          <a:chExt cx="1920240" cy="190256"/>
        </a:xfrm>
      </xdr:grpSpPr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116AC261-05E3-F5CA-6277-AEDC0BA7F8C9}"/>
              </a:ext>
            </a:extLst>
          </xdr:cNvPr>
          <xdr:cNvSpPr>
            <a:spLocks noChangeAspect="1"/>
          </xdr:cNvSpPr>
        </xdr:nvSpPr>
        <xdr:spPr>
          <a:xfrm>
            <a:off x="3410383" y="5324865"/>
            <a:ext cx="1900757" cy="190256"/>
          </a:xfrm>
          <a:prstGeom prst="rect">
            <a:avLst/>
          </a:prstGeom>
          <a:solidFill>
            <a:srgbClr val="F0D3D2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4" name="Right Bracket 13">
            <a:extLst>
              <a:ext uri="{FF2B5EF4-FFF2-40B4-BE49-F238E27FC236}">
                <a16:creationId xmlns:a16="http://schemas.microsoft.com/office/drawing/2014/main" id="{B161DE97-ECAE-963B-853F-4D729D5CF8E5}"/>
              </a:ext>
            </a:extLst>
          </xdr:cNvPr>
          <xdr:cNvSpPr/>
        </xdr:nvSpPr>
        <xdr:spPr>
          <a:xfrm rot="16200000" flipV="1">
            <a:off x="4265985" y="4459522"/>
            <a:ext cx="189552" cy="1920240"/>
          </a:xfrm>
          <a:prstGeom prst="rightBracket">
            <a:avLst>
              <a:gd name="adj" fmla="val 0"/>
            </a:avLst>
          </a:prstGeom>
          <a:ln w="952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tlCol="0" anchor="ctr"/>
          <a:lstStyle/>
          <a:p>
            <a:pPr algn="l"/>
            <a:endParaRPr lang="en-US" sz="1100"/>
          </a:p>
        </xdr:txBody>
      </xdr:sp>
    </xdr:grpSp>
    <xdr:clientData/>
  </xdr:twoCellAnchor>
  <xdr:twoCellAnchor editAs="absolute">
    <xdr:from>
      <xdr:col>2</xdr:col>
      <xdr:colOff>2152651</xdr:colOff>
      <xdr:row>9</xdr:row>
      <xdr:rowOff>112395</xdr:rowOff>
    </xdr:from>
    <xdr:to>
      <xdr:col>2</xdr:col>
      <xdr:colOff>3859531</xdr:colOff>
      <xdr:row>18</xdr:row>
      <xdr:rowOff>0</xdr:rowOff>
    </xdr:to>
    <xdr:grpSp>
      <xdr:nvGrpSpPr>
        <xdr:cNvPr id="47" name="Group 46">
          <a:extLst>
            <a:ext uri="{FF2B5EF4-FFF2-40B4-BE49-F238E27FC236}">
              <a16:creationId xmlns:a16="http://schemas.microsoft.com/office/drawing/2014/main" id="{870465FB-95D7-9D8D-0CF8-99C741493B01}"/>
            </a:ext>
          </a:extLst>
        </xdr:cNvPr>
        <xdr:cNvGrpSpPr>
          <a:grpSpLocks noChangeAspect="1"/>
        </xdr:cNvGrpSpPr>
      </xdr:nvGrpSpPr>
      <xdr:grpSpPr>
        <a:xfrm>
          <a:off x="3219451" y="2421255"/>
          <a:ext cx="1706880" cy="1609725"/>
          <a:chOff x="3219451" y="2459355"/>
          <a:chExt cx="1706880" cy="1609725"/>
        </a:xfrm>
      </xdr:grpSpPr>
      <xdr:sp macro="" textlink="">
        <xdr:nvSpPr>
          <xdr:cNvPr id="19" name="Rectangle 35">
            <a:extLst>
              <a:ext uri="{FF2B5EF4-FFF2-40B4-BE49-F238E27FC236}">
                <a16:creationId xmlns:a16="http://schemas.microsoft.com/office/drawing/2014/main" id="{94494821-41BE-4CBB-E9AB-AA010EB86790}"/>
              </a:ext>
            </a:extLst>
          </xdr:cNvPr>
          <xdr:cNvSpPr>
            <a:spLocks noChangeArrowheads="1"/>
          </xdr:cNvSpPr>
        </xdr:nvSpPr>
        <xdr:spPr bwMode="auto">
          <a:xfrm>
            <a:off x="3219451" y="2459355"/>
            <a:ext cx="1706880" cy="1609725"/>
          </a:xfrm>
          <a:prstGeom prst="rect">
            <a:avLst/>
          </a:prstGeom>
          <a:solidFill>
            <a:srgbClr val="F2E2DE"/>
          </a:solidFill>
          <a:ln w="0">
            <a:solidFill>
              <a:schemeClr val="tx1"/>
            </a:solidFill>
          </a:ln>
        </xdr:spPr>
        <xdr:txBody>
          <a:bodyPr/>
          <a:lstStyle/>
          <a:p>
            <a:endParaRPr lang="en-US"/>
          </a:p>
        </xdr:txBody>
      </xdr: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AAB753AC-D18B-96FF-75D4-9434D1346CB4}"/>
              </a:ext>
            </a:extLst>
          </xdr:cNvPr>
          <xdr:cNvGrpSpPr/>
        </xdr:nvGrpSpPr>
        <xdr:grpSpPr>
          <a:xfrm>
            <a:off x="3219451" y="2459355"/>
            <a:ext cx="1706880" cy="594360"/>
            <a:chOff x="3219451" y="2459355"/>
            <a:chExt cx="1920240" cy="594360"/>
          </a:xfrm>
        </xdr:grpSpPr>
        <xdr:sp macro="" textlink="">
          <xdr:nvSpPr>
            <xdr:cNvPr id="22" name="Rectangle 35">
              <a:extLst>
                <a:ext uri="{FF2B5EF4-FFF2-40B4-BE49-F238E27FC236}">
                  <a16:creationId xmlns:a16="http://schemas.microsoft.com/office/drawing/2014/main" id="{8C1B277B-6406-C547-3EA3-C5047A65651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19451" y="2459355"/>
              <a:ext cx="1920240" cy="594360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</xdr:sp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5B5ADE0F-2AC0-EFE1-BA8E-9451C89559D0}"/>
                </a:ext>
              </a:extLst>
            </xdr:cNvPr>
            <xdr:cNvGrpSpPr/>
          </xdr:nvGrpSpPr>
          <xdr:grpSpPr>
            <a:xfrm>
              <a:off x="3265171" y="2497459"/>
              <a:ext cx="1828800" cy="518165"/>
              <a:chOff x="3265171" y="2497459"/>
              <a:chExt cx="1828800" cy="518165"/>
            </a:xfrm>
          </xdr:grpSpPr>
          <xdr:sp macro="" textlink="">
            <xdr:nvSpPr>
              <xdr:cNvPr id="24" name="Rectangle 82">
                <a:extLst>
                  <a:ext uri="{FF2B5EF4-FFF2-40B4-BE49-F238E27FC236}">
                    <a16:creationId xmlns:a16="http://schemas.microsoft.com/office/drawing/2014/main" id="{AAF2E529-7E8E-BC52-258F-FFD9B7FF22F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265171" y="2497459"/>
                <a:ext cx="1828800" cy="2743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horzOverflow="clip" wrap="square" lIns="0" tIns="0" rIns="0" bIns="0" anchor="ctr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900" b="0" i="0" u="none" strike="noStrike" baseline="0">
                    <a:solidFill>
                      <a:srgbClr val="FFFFFF"/>
                    </a:solidFill>
                    <a:latin typeface="Aptos Display" panose="020B0004020202020204" pitchFamily="34" charset="0"/>
                    <a:ea typeface="Calibri"/>
                    <a:cs typeface="Calibri"/>
                  </a:rPr>
                  <a:t>T</a:t>
                </a:r>
                <a:r>
                  <a:rPr lang="en-US" sz="1600" b="0" i="0" u="none" strike="noStrike" baseline="0">
                    <a:solidFill>
                      <a:srgbClr val="FFFFFF"/>
                    </a:solidFill>
                    <a:latin typeface="Aptos Display" panose="020B0004020202020204" pitchFamily="34" charset="0"/>
                    <a:ea typeface="Calibri"/>
                    <a:cs typeface="Calibri"/>
                  </a:rPr>
                  <a:t>IME </a:t>
                </a:r>
                <a:r>
                  <a:rPr lang="en-US" sz="1900" b="0" i="0" u="none" strike="noStrike" baseline="0">
                    <a:solidFill>
                      <a:srgbClr val="FFFFFF"/>
                    </a:solidFill>
                    <a:latin typeface="Aptos Display" panose="020B0004020202020204" pitchFamily="34" charset="0"/>
                    <a:ea typeface="Calibri"/>
                    <a:cs typeface="Calibri"/>
                  </a:rPr>
                  <a:t>V</a:t>
                </a:r>
                <a:r>
                  <a:rPr lang="en-US" sz="1600" b="0" i="0" u="none" strike="noStrike" baseline="0">
                    <a:solidFill>
                      <a:srgbClr val="FFFFFF"/>
                    </a:solidFill>
                    <a:latin typeface="Aptos Display" panose="020B0004020202020204" pitchFamily="34" charset="0"/>
                    <a:ea typeface="Calibri"/>
                    <a:cs typeface="Calibri"/>
                  </a:rPr>
                  <a:t>ALUE</a:t>
                </a:r>
              </a:p>
            </xdr:txBody>
          </xdr:sp>
          <xdr:sp macro="" textlink="">
            <xdr:nvSpPr>
              <xdr:cNvPr id="25" name="Rectangle 82">
                <a:extLst>
                  <a:ext uri="{FF2B5EF4-FFF2-40B4-BE49-F238E27FC236}">
                    <a16:creationId xmlns:a16="http://schemas.microsoft.com/office/drawing/2014/main" id="{8FEE3BF4-17D8-6B6C-4A24-B1BBF9A680E3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265171" y="2741304"/>
                <a:ext cx="1828800" cy="2743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horzOverflow="clip" wrap="square" lIns="0" tIns="0" rIns="0" bIns="0" anchor="ctr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600" b="0" i="0" u="none" strike="noStrike" baseline="0">
                    <a:solidFill>
                      <a:srgbClr val="FFFFFF"/>
                    </a:solidFill>
                    <a:latin typeface="Aptos Display" panose="020B0004020202020204" pitchFamily="34" charset="0"/>
                    <a:ea typeface="Calibri"/>
                    <a:cs typeface="Calibri"/>
                  </a:rPr>
                  <a:t>OF </a:t>
                </a:r>
                <a:r>
                  <a:rPr lang="en-US" sz="1900" b="0" i="0" u="none" strike="noStrike" baseline="0">
                    <a:solidFill>
                      <a:srgbClr val="FFFFFF"/>
                    </a:solidFill>
                    <a:latin typeface="Aptos Display" panose="020B0004020202020204" pitchFamily="34" charset="0"/>
                    <a:ea typeface="Calibri"/>
                    <a:cs typeface="Calibri"/>
                  </a:rPr>
                  <a:t>M</a:t>
                </a:r>
                <a:r>
                  <a:rPr lang="en-US" sz="1600" b="0" i="0" u="none" strike="noStrike" baseline="0">
                    <a:solidFill>
                      <a:srgbClr val="FFFFFF"/>
                    </a:solidFill>
                    <a:latin typeface="Aptos Display" panose="020B0004020202020204" pitchFamily="34" charset="0"/>
                    <a:ea typeface="Calibri"/>
                    <a:cs typeface="Calibri"/>
                  </a:rPr>
                  <a:t>ONEY </a:t>
                </a:r>
              </a:p>
            </xdr:txBody>
          </xdr:sp>
        </xdr:grpSp>
      </xdr:grpSp>
      <xdr:sp macro="" textlink="">
        <xdr:nvSpPr>
          <xdr:cNvPr id="21" name="Rectangle 42">
            <a:extLst>
              <a:ext uri="{FF2B5EF4-FFF2-40B4-BE49-F238E27FC236}">
                <a16:creationId xmlns:a16="http://schemas.microsoft.com/office/drawing/2014/main" id="{5C855B7B-5908-EF3B-3D69-F0639E5814B9}"/>
              </a:ext>
            </a:extLst>
          </xdr:cNvPr>
          <xdr:cNvSpPr>
            <a:spLocks noChangeArrowheads="1"/>
          </xdr:cNvSpPr>
        </xdr:nvSpPr>
        <xdr:spPr bwMode="auto">
          <a:xfrm>
            <a:off x="3356610" y="3101340"/>
            <a:ext cx="1463040" cy="952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horzOverflow="clip" wrap="square" lIns="0" tIns="0" rIns="0" bIns="0" anchor="t">
            <a:noAutofit/>
          </a:bodyPr>
          <a:lstStyle/>
          <a:p>
            <a:pPr algn="l" rtl="0">
              <a:defRPr sz="1000"/>
            </a:pPr>
            <a:r>
              <a:rPr lang="en-US" sz="1450" b="0" i="0" u="none" strike="noStrike" baseline="0">
                <a:solidFill>
                  <a:srgbClr val="000000"/>
                </a:solidFill>
                <a:latin typeface="Aptos" panose="020B0004020202020204" pitchFamily="34" charset="0"/>
              </a:rPr>
              <a:t>Present Value</a:t>
            </a:r>
          </a:p>
          <a:p>
            <a:pPr algn="l" rtl="0">
              <a:defRPr sz="1000"/>
            </a:pPr>
            <a:r>
              <a:rPr lang="en-US" sz="1450" b="0" i="0" u="none" strike="noStrike" baseline="0">
                <a:solidFill>
                  <a:srgbClr val="000000"/>
                </a:solidFill>
                <a:latin typeface="Aptos" panose="020B0004020202020204" pitchFamily="34" charset="0"/>
              </a:rPr>
              <a:t>Fugure Value</a:t>
            </a:r>
          </a:p>
          <a:p>
            <a:pPr algn="l" rtl="0">
              <a:defRPr sz="1000"/>
            </a:pPr>
            <a:r>
              <a:rPr lang="en-US" sz="1450" b="0" i="0" u="none" strike="noStrike" baseline="0">
                <a:solidFill>
                  <a:srgbClr val="000000"/>
                </a:solidFill>
                <a:latin typeface="Aptos" panose="020B0004020202020204" pitchFamily="34" charset="0"/>
              </a:rPr>
              <a:t>Rate of Return</a:t>
            </a:r>
            <a:br>
              <a:rPr lang="en-US" sz="1450" b="0" i="0" u="none" strike="noStrike" baseline="0">
                <a:solidFill>
                  <a:srgbClr val="000000"/>
                </a:solidFill>
                <a:latin typeface="Aptos" panose="020B0004020202020204" pitchFamily="34" charset="0"/>
              </a:rPr>
            </a:br>
            <a:r>
              <a:rPr lang="en-US" sz="1450" b="0" i="0" u="none" strike="noStrike" baseline="0">
                <a:solidFill>
                  <a:srgbClr val="000000"/>
                </a:solidFill>
                <a:latin typeface="Aptos" panose="020B0004020202020204" pitchFamily="34" charset="0"/>
              </a:rPr>
              <a:t>Annuities</a:t>
            </a:r>
          </a:p>
        </xdr:txBody>
      </xdr:sp>
    </xdr:grpSp>
    <xdr:clientData/>
  </xdr:twoCellAnchor>
  <xdr:twoCellAnchor editAs="absolute">
    <xdr:from>
      <xdr:col>2</xdr:col>
      <xdr:colOff>430</xdr:colOff>
      <xdr:row>1</xdr:row>
      <xdr:rowOff>266701</xdr:rowOff>
    </xdr:from>
    <xdr:to>
      <xdr:col>2</xdr:col>
      <xdr:colOff>1104900</xdr:colOff>
      <xdr:row>1</xdr:row>
      <xdr:rowOff>698183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7665C17-7208-4321-9060-1797E8BCA00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7230" y="373381"/>
          <a:ext cx="1104470" cy="4314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212046</xdr:colOff>
      <xdr:row>18</xdr:row>
      <xdr:rowOff>17145</xdr:rowOff>
    </xdr:from>
    <xdr:ext cx="1463040" cy="0"/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DC92DDB5-7E11-4F1C-B9C1-304EA7ACB1C6}"/>
            </a:ext>
          </a:extLst>
        </xdr:cNvPr>
        <xdr:cNvCxnSpPr/>
      </xdr:nvCxnSpPr>
      <xdr:spPr>
        <a:xfrm>
          <a:off x="1705566" y="3629025"/>
          <a:ext cx="1463040" cy="0"/>
        </a:xfrm>
        <a:prstGeom prst="straightConnector1">
          <a:avLst/>
        </a:prstGeom>
        <a:ln w="12700">
          <a:solidFill>
            <a:schemeClr val="tx1"/>
          </a:solidFill>
          <a:prstDash val="sysDot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5</xdr:col>
      <xdr:colOff>48324</xdr:colOff>
      <xdr:row>11</xdr:row>
      <xdr:rowOff>160409</xdr:rowOff>
    </xdr:from>
    <xdr:ext cx="274320" cy="0"/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5D1027EC-9BD2-155B-47C0-16F704F3E228}"/>
            </a:ext>
          </a:extLst>
        </xdr:cNvPr>
        <xdr:cNvCxnSpPr/>
      </xdr:nvCxnSpPr>
      <xdr:spPr>
        <a:xfrm flipH="1">
          <a:off x="3446844" y="2217809"/>
          <a:ext cx="274320" cy="0"/>
        </a:xfrm>
        <a:prstGeom prst="straightConnector1">
          <a:avLst/>
        </a:prstGeom>
        <a:ln w="12700">
          <a:solidFill>
            <a:schemeClr val="tx1"/>
          </a:solidFill>
          <a:prstDash val="sysDot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6</xdr:col>
      <xdr:colOff>278130</xdr:colOff>
      <xdr:row>18</xdr:row>
      <xdr:rowOff>17145</xdr:rowOff>
    </xdr:from>
    <xdr:ext cx="2377440" cy="0"/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51044507-1D7D-3E23-D6AD-FD2E7B0F8F75}"/>
            </a:ext>
          </a:extLst>
        </xdr:cNvPr>
        <xdr:cNvCxnSpPr/>
      </xdr:nvCxnSpPr>
      <xdr:spPr>
        <a:xfrm>
          <a:off x="4050030" y="3629025"/>
          <a:ext cx="2377440" cy="0"/>
        </a:xfrm>
        <a:prstGeom prst="straightConnector1">
          <a:avLst/>
        </a:prstGeom>
        <a:ln w="12700">
          <a:solidFill>
            <a:schemeClr val="tx1"/>
          </a:solidFill>
          <a:prstDash val="sysDot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3</xdr:col>
      <xdr:colOff>212046</xdr:colOff>
      <xdr:row>21</xdr:row>
      <xdr:rowOff>15828</xdr:rowOff>
    </xdr:from>
    <xdr:ext cx="1463040" cy="0"/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ED08B4E3-54B0-4EB3-3E3C-F273C101E297}"/>
            </a:ext>
          </a:extLst>
        </xdr:cNvPr>
        <xdr:cNvCxnSpPr/>
      </xdr:nvCxnSpPr>
      <xdr:spPr>
        <a:xfrm flipH="1">
          <a:off x="1706309" y="4398257"/>
          <a:ext cx="1463040" cy="0"/>
        </a:xfrm>
        <a:prstGeom prst="straightConnector1">
          <a:avLst/>
        </a:prstGeom>
        <a:ln w="12700">
          <a:solidFill>
            <a:schemeClr val="tx1"/>
          </a:solidFill>
          <a:prstDash val="sysDot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6</xdr:col>
      <xdr:colOff>278130</xdr:colOff>
      <xdr:row>21</xdr:row>
      <xdr:rowOff>15828</xdr:rowOff>
    </xdr:from>
    <xdr:ext cx="2377440" cy="0"/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3FB61E9-9437-44B2-9F4E-562133FEB475}"/>
            </a:ext>
          </a:extLst>
        </xdr:cNvPr>
        <xdr:cNvCxnSpPr/>
      </xdr:nvCxnSpPr>
      <xdr:spPr>
        <a:xfrm flipH="1">
          <a:off x="4047242" y="4398257"/>
          <a:ext cx="2377440" cy="0"/>
        </a:xfrm>
        <a:prstGeom prst="straightConnector1">
          <a:avLst/>
        </a:prstGeom>
        <a:ln w="12700">
          <a:solidFill>
            <a:schemeClr val="tx1"/>
          </a:solidFill>
          <a:prstDash val="sysDot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twoCellAnchor>
    <xdr:from>
      <xdr:col>3</xdr:col>
      <xdr:colOff>640080</xdr:colOff>
      <xdr:row>11</xdr:row>
      <xdr:rowOff>205740</xdr:rowOff>
    </xdr:from>
    <xdr:to>
      <xdr:col>4</xdr:col>
      <xdr:colOff>632460</xdr:colOff>
      <xdr:row>21</xdr:row>
      <xdr:rowOff>60960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4FA12D6-4BBF-480B-8EE2-68967FF131E0}"/>
            </a:ext>
          </a:extLst>
        </xdr:cNvPr>
        <xdr:cNvSpPr/>
      </xdr:nvSpPr>
      <xdr:spPr>
        <a:xfrm>
          <a:off x="2057400" y="2385060"/>
          <a:ext cx="944880" cy="218694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579120</xdr:colOff>
      <xdr:row>11</xdr:row>
      <xdr:rowOff>152400</xdr:rowOff>
    </xdr:from>
    <xdr:to>
      <xdr:col>7</xdr:col>
      <xdr:colOff>518160</xdr:colOff>
      <xdr:row>21</xdr:row>
      <xdr:rowOff>152400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1837CF2-4E4B-DD42-CEC4-FC2B53FB9484}"/>
            </a:ext>
          </a:extLst>
        </xdr:cNvPr>
        <xdr:cNvSpPr/>
      </xdr:nvSpPr>
      <xdr:spPr>
        <a:xfrm>
          <a:off x="4274820" y="2331720"/>
          <a:ext cx="891540" cy="233172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312420</xdr:colOff>
      <xdr:row>11</xdr:row>
      <xdr:rowOff>152400</xdr:rowOff>
    </xdr:from>
    <xdr:to>
      <xdr:col>9</xdr:col>
      <xdr:colOff>632460</xdr:colOff>
      <xdr:row>21</xdr:row>
      <xdr:rowOff>152400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5D30CAD-63B6-4CEE-8AFE-F84941BFCDEA}"/>
            </a:ext>
          </a:extLst>
        </xdr:cNvPr>
        <xdr:cNvSpPr/>
      </xdr:nvSpPr>
      <xdr:spPr>
        <a:xfrm>
          <a:off x="5989320" y="2331720"/>
          <a:ext cx="320040" cy="233172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510540</xdr:colOff>
      <xdr:row>10</xdr:row>
      <xdr:rowOff>0</xdr:rowOff>
    </xdr:from>
    <xdr:to>
      <xdr:col>5</xdr:col>
      <xdr:colOff>281940</xdr:colOff>
      <xdr:row>21</xdr:row>
      <xdr:rowOff>99060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F00409B-5F70-49CF-9381-C26B5A1104F1}"/>
            </a:ext>
          </a:extLst>
        </xdr:cNvPr>
        <xdr:cNvSpPr/>
      </xdr:nvSpPr>
      <xdr:spPr>
        <a:xfrm>
          <a:off x="1104900" y="1851660"/>
          <a:ext cx="1813560" cy="202692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556260</xdr:colOff>
      <xdr:row>10</xdr:row>
      <xdr:rowOff>0</xdr:rowOff>
    </xdr:from>
    <xdr:to>
      <xdr:col>11</xdr:col>
      <xdr:colOff>289560</xdr:colOff>
      <xdr:row>25</xdr:row>
      <xdr:rowOff>68580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4A996E2-3B57-28E9-3ED2-5959BFD560A2}"/>
            </a:ext>
          </a:extLst>
        </xdr:cNvPr>
        <xdr:cNvSpPr/>
      </xdr:nvSpPr>
      <xdr:spPr>
        <a:xfrm>
          <a:off x="4693920" y="1851660"/>
          <a:ext cx="1950720" cy="269748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449580</xdr:colOff>
      <xdr:row>10</xdr:row>
      <xdr:rowOff>0</xdr:rowOff>
    </xdr:from>
    <xdr:to>
      <xdr:col>16</xdr:col>
      <xdr:colOff>320040</xdr:colOff>
      <xdr:row>24</xdr:row>
      <xdr:rowOff>60960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1610071-326A-D121-E2AA-BE6EE471165B}"/>
            </a:ext>
          </a:extLst>
        </xdr:cNvPr>
        <xdr:cNvSpPr/>
      </xdr:nvSpPr>
      <xdr:spPr>
        <a:xfrm>
          <a:off x="8336280" y="1851660"/>
          <a:ext cx="1722120" cy="251460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12</xdr:row>
      <xdr:rowOff>22860</xdr:rowOff>
    </xdr:from>
    <xdr:to>
      <xdr:col>12</xdr:col>
      <xdr:colOff>167640</xdr:colOff>
      <xdr:row>19</xdr:row>
      <xdr:rowOff>53340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54FF332-6AD3-4895-A327-CBBFB5E3C6EA}"/>
            </a:ext>
          </a:extLst>
        </xdr:cNvPr>
        <xdr:cNvSpPr/>
      </xdr:nvSpPr>
      <xdr:spPr>
        <a:xfrm>
          <a:off x="2613660" y="2186940"/>
          <a:ext cx="1851660" cy="126492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</xdr:colOff>
      <xdr:row>21</xdr:row>
      <xdr:rowOff>121920</xdr:rowOff>
    </xdr:from>
    <xdr:to>
      <xdr:col>12</xdr:col>
      <xdr:colOff>167640</xdr:colOff>
      <xdr:row>23</xdr:row>
      <xdr:rowOff>106680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DDD13E3-A60F-06E2-E56E-7562F62CD554}"/>
            </a:ext>
          </a:extLst>
        </xdr:cNvPr>
        <xdr:cNvSpPr/>
      </xdr:nvSpPr>
      <xdr:spPr>
        <a:xfrm>
          <a:off x="2811780" y="3870960"/>
          <a:ext cx="1653540" cy="33528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68580</xdr:colOff>
      <xdr:row>20</xdr:row>
      <xdr:rowOff>121920</xdr:rowOff>
    </xdr:from>
    <xdr:to>
      <xdr:col>17</xdr:col>
      <xdr:colOff>1257300</xdr:colOff>
      <xdr:row>23</xdr:row>
      <xdr:rowOff>91440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63D5E18-E63C-DA95-BEA6-E1E06298383F}"/>
            </a:ext>
          </a:extLst>
        </xdr:cNvPr>
        <xdr:cNvSpPr/>
      </xdr:nvSpPr>
      <xdr:spPr>
        <a:xfrm>
          <a:off x="5509260" y="3695700"/>
          <a:ext cx="1562100" cy="49530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274320</xdr:colOff>
      <xdr:row>10</xdr:row>
      <xdr:rowOff>114300</xdr:rowOff>
    </xdr:from>
    <xdr:to>
      <xdr:col>21</xdr:col>
      <xdr:colOff>129540</xdr:colOff>
      <xdr:row>20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C962E934-3315-B5CC-E2AA-47E86FD18F21}"/>
            </a:ext>
          </a:extLst>
        </xdr:cNvPr>
        <xdr:cNvSpPr/>
      </xdr:nvSpPr>
      <xdr:spPr>
        <a:xfrm>
          <a:off x="7856220" y="1927860"/>
          <a:ext cx="1424940" cy="172212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45720</xdr:colOff>
      <xdr:row>10</xdr:row>
      <xdr:rowOff>114300</xdr:rowOff>
    </xdr:from>
    <xdr:to>
      <xdr:col>18</xdr:col>
      <xdr:colOff>22860</xdr:colOff>
      <xdr:row>19</xdr:row>
      <xdr:rowOff>22860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5E015C49-FDD0-DD95-AC08-879A26A444A1}"/>
            </a:ext>
          </a:extLst>
        </xdr:cNvPr>
        <xdr:cNvSpPr/>
      </xdr:nvSpPr>
      <xdr:spPr>
        <a:xfrm>
          <a:off x="5273040" y="1927860"/>
          <a:ext cx="1851660" cy="149352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</xdr:colOff>
      <xdr:row>10</xdr:row>
      <xdr:rowOff>114300</xdr:rowOff>
    </xdr:from>
    <xdr:to>
      <xdr:col>12</xdr:col>
      <xdr:colOff>175260</xdr:colOff>
      <xdr:row>25</xdr:row>
      <xdr:rowOff>68580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61295B8-1D3C-4F11-909F-8AA59650B1FF}"/>
            </a:ext>
          </a:extLst>
        </xdr:cNvPr>
        <xdr:cNvSpPr/>
      </xdr:nvSpPr>
      <xdr:spPr>
        <a:xfrm>
          <a:off x="3223260" y="1927860"/>
          <a:ext cx="1447800" cy="258318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403860</xdr:colOff>
      <xdr:row>10</xdr:row>
      <xdr:rowOff>68580</xdr:rowOff>
    </xdr:from>
    <xdr:to>
      <xdr:col>15</xdr:col>
      <xdr:colOff>243840</xdr:colOff>
      <xdr:row>21</xdr:row>
      <xdr:rowOff>114300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E0D27E0-AB1D-3E20-2179-05F6B0D179C1}"/>
            </a:ext>
          </a:extLst>
        </xdr:cNvPr>
        <xdr:cNvSpPr/>
      </xdr:nvSpPr>
      <xdr:spPr>
        <a:xfrm>
          <a:off x="5478780" y="1882140"/>
          <a:ext cx="1295400" cy="197358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274320</xdr:colOff>
      <xdr:row>10</xdr:row>
      <xdr:rowOff>129540</xdr:rowOff>
    </xdr:from>
    <xdr:to>
      <xdr:col>7</xdr:col>
      <xdr:colOff>281940</xdr:colOff>
      <xdr:row>23</xdr:row>
      <xdr:rowOff>91440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2837FA8-DDEE-4DFB-9B43-30951DFB0454}"/>
            </a:ext>
          </a:extLst>
        </xdr:cNvPr>
        <xdr:cNvSpPr/>
      </xdr:nvSpPr>
      <xdr:spPr>
        <a:xfrm>
          <a:off x="3131820" y="1935480"/>
          <a:ext cx="1417320" cy="224028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243840</xdr:colOff>
      <xdr:row>10</xdr:row>
      <xdr:rowOff>129540</xdr:rowOff>
    </xdr:from>
    <xdr:to>
      <xdr:col>12</xdr:col>
      <xdr:colOff>190500</xdr:colOff>
      <xdr:row>23</xdr:row>
      <xdr:rowOff>68580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E934815-619D-C376-A5B0-12CACF97E7D7}"/>
            </a:ext>
          </a:extLst>
        </xdr:cNvPr>
        <xdr:cNvSpPr/>
      </xdr:nvSpPr>
      <xdr:spPr>
        <a:xfrm>
          <a:off x="5067300" y="1935480"/>
          <a:ext cx="1165860" cy="221742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289560</xdr:colOff>
      <xdr:row>13</xdr:row>
      <xdr:rowOff>30480</xdr:rowOff>
    </xdr:from>
    <xdr:to>
      <xdr:col>7</xdr:col>
      <xdr:colOff>228600</xdr:colOff>
      <xdr:row>20</xdr:row>
      <xdr:rowOff>83820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9896B38-E456-46BC-A1F3-09219FF9AF5F}"/>
            </a:ext>
          </a:extLst>
        </xdr:cNvPr>
        <xdr:cNvSpPr/>
      </xdr:nvSpPr>
      <xdr:spPr>
        <a:xfrm>
          <a:off x="1409700" y="2316480"/>
          <a:ext cx="1485900" cy="128016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297180</xdr:colOff>
      <xdr:row>13</xdr:row>
      <xdr:rowOff>30480</xdr:rowOff>
    </xdr:from>
    <xdr:to>
      <xdr:col>12</xdr:col>
      <xdr:colOff>281940</xdr:colOff>
      <xdr:row>21</xdr:row>
      <xdr:rowOff>53340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5A8B324-B339-73BB-51CA-DA1D339AA170}"/>
            </a:ext>
          </a:extLst>
        </xdr:cNvPr>
        <xdr:cNvSpPr/>
      </xdr:nvSpPr>
      <xdr:spPr>
        <a:xfrm>
          <a:off x="3733800" y="2316480"/>
          <a:ext cx="1531620" cy="142494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266700</xdr:colOff>
      <xdr:row>12</xdr:row>
      <xdr:rowOff>152400</xdr:rowOff>
    </xdr:from>
    <xdr:to>
      <xdr:col>17</xdr:col>
      <xdr:colOff>220980</xdr:colOff>
      <xdr:row>19</xdr:row>
      <xdr:rowOff>15240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DAB8016-1673-6D72-0F9A-87F91D9268AA}"/>
            </a:ext>
          </a:extLst>
        </xdr:cNvPr>
        <xdr:cNvSpPr/>
      </xdr:nvSpPr>
      <xdr:spPr>
        <a:xfrm>
          <a:off x="6019800" y="2263140"/>
          <a:ext cx="1501140" cy="108966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396240</xdr:colOff>
      <xdr:row>24</xdr:row>
      <xdr:rowOff>38100</xdr:rowOff>
    </xdr:from>
    <xdr:to>
      <xdr:col>7</xdr:col>
      <xdr:colOff>281940</xdr:colOff>
      <xdr:row>31</xdr:row>
      <xdr:rowOff>53340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8E23579-BC9F-360C-52CB-5E692044D804}"/>
            </a:ext>
          </a:extLst>
        </xdr:cNvPr>
        <xdr:cNvSpPr/>
      </xdr:nvSpPr>
      <xdr:spPr>
        <a:xfrm>
          <a:off x="1516380" y="4084320"/>
          <a:ext cx="1432560" cy="99060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388620</xdr:colOff>
      <xdr:row>24</xdr:row>
      <xdr:rowOff>38100</xdr:rowOff>
    </xdr:from>
    <xdr:to>
      <xdr:col>12</xdr:col>
      <xdr:colOff>289560</xdr:colOff>
      <xdr:row>31</xdr:row>
      <xdr:rowOff>83820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38232CB-6BB5-EA7C-E6B8-24BCF1E8A0D1}"/>
            </a:ext>
          </a:extLst>
        </xdr:cNvPr>
        <xdr:cNvSpPr/>
      </xdr:nvSpPr>
      <xdr:spPr>
        <a:xfrm>
          <a:off x="3825240" y="4084320"/>
          <a:ext cx="1447800" cy="102108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464820</xdr:colOff>
      <xdr:row>24</xdr:row>
      <xdr:rowOff>38100</xdr:rowOff>
    </xdr:from>
    <xdr:to>
      <xdr:col>17</xdr:col>
      <xdr:colOff>198120</xdr:colOff>
      <xdr:row>31</xdr:row>
      <xdr:rowOff>45720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76CD9A7-6AC0-54CE-F52F-C6BB85634330}"/>
            </a:ext>
          </a:extLst>
        </xdr:cNvPr>
        <xdr:cNvSpPr/>
      </xdr:nvSpPr>
      <xdr:spPr>
        <a:xfrm>
          <a:off x="6217920" y="4084320"/>
          <a:ext cx="1280160" cy="98298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15</xdr:row>
      <xdr:rowOff>15240</xdr:rowOff>
    </xdr:from>
    <xdr:to>
      <xdr:col>31</xdr:col>
      <xdr:colOff>45720</xdr:colOff>
      <xdr:row>23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E18C7B-3965-4BB5-B506-9CC9529DC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174637</xdr:colOff>
      <xdr:row>12</xdr:row>
      <xdr:rowOff>71202</xdr:rowOff>
    </xdr:from>
    <xdr:to>
      <xdr:col>30</xdr:col>
      <xdr:colOff>89056</xdr:colOff>
      <xdr:row>13</xdr:row>
      <xdr:rowOff>170262</xdr:rowOff>
    </xdr:to>
    <xdr:grpSp>
      <xdr:nvGrpSpPr>
        <xdr:cNvPr id="69" name="Group 68">
          <a:extLst>
            <a:ext uri="{FF2B5EF4-FFF2-40B4-BE49-F238E27FC236}">
              <a16:creationId xmlns:a16="http://schemas.microsoft.com/office/drawing/2014/main" id="{249D7994-55B2-AB1B-8236-941D078518C7}"/>
            </a:ext>
          </a:extLst>
        </xdr:cNvPr>
        <xdr:cNvGrpSpPr>
          <a:grpSpLocks/>
        </xdr:cNvGrpSpPr>
      </xdr:nvGrpSpPr>
      <xdr:grpSpPr>
        <a:xfrm>
          <a:off x="7505077" y="2296242"/>
          <a:ext cx="4128279" cy="274320"/>
          <a:chOff x="7771777" y="2380062"/>
          <a:chExt cx="4128279" cy="360459"/>
        </a:xfrm>
      </xdr:grpSpPr>
      <xdr:grpSp>
        <xdr:nvGrpSpPr>
          <xdr:cNvPr id="44" name="Group 43">
            <a:extLst>
              <a:ext uri="{FF2B5EF4-FFF2-40B4-BE49-F238E27FC236}">
                <a16:creationId xmlns:a16="http://schemas.microsoft.com/office/drawing/2014/main" id="{B97AE867-47B4-4AB2-830A-B6F137383060}"/>
              </a:ext>
            </a:extLst>
          </xdr:cNvPr>
          <xdr:cNvGrpSpPr/>
        </xdr:nvGrpSpPr>
        <xdr:grpSpPr>
          <a:xfrm>
            <a:off x="10662518" y="2380062"/>
            <a:ext cx="457200" cy="360459"/>
            <a:chOff x="8490646" y="2387682"/>
            <a:chExt cx="440659" cy="360459"/>
          </a:xfrm>
        </xdr:grpSpPr>
        <xdr:pic>
          <xdr:nvPicPr>
            <xdr:cNvPr id="45" name="Picture 44">
              <a:extLst>
                <a:ext uri="{FF2B5EF4-FFF2-40B4-BE49-F238E27FC236}">
                  <a16:creationId xmlns:a16="http://schemas.microsoft.com/office/drawing/2014/main" id="{92464B3C-6630-C1F1-8B03-1A2B658184BA}"/>
                </a:ext>
              </a:extLst>
            </xdr:cNvPr>
            <xdr:cNvPicPr>
              <a:picLocks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722503" y="2387682"/>
              <a:ext cx="208802" cy="36045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6" name="Picture 45">
              <a:extLst>
                <a:ext uri="{FF2B5EF4-FFF2-40B4-BE49-F238E27FC236}">
                  <a16:creationId xmlns:a16="http://schemas.microsoft.com/office/drawing/2014/main" id="{A9E36A29-62B9-F6E6-1F8C-5B1D1EEDCD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640680" y="2423018"/>
              <a:ext cx="144631" cy="2286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7" name="Picture 46">
              <a:extLst>
                <a:ext uri="{FF2B5EF4-FFF2-40B4-BE49-F238E27FC236}">
                  <a16:creationId xmlns:a16="http://schemas.microsoft.com/office/drawing/2014/main" id="{CB6EDD4C-786C-4ECE-6C0C-2DAB9D67D8E9}"/>
                </a:ext>
              </a:extLst>
            </xdr:cNvPr>
            <xdr:cNvPicPr>
              <a:picLocks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flipH="1">
              <a:off x="8490646" y="2387682"/>
              <a:ext cx="208794" cy="36045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48" name="Group 47">
            <a:extLst>
              <a:ext uri="{FF2B5EF4-FFF2-40B4-BE49-F238E27FC236}">
                <a16:creationId xmlns:a16="http://schemas.microsoft.com/office/drawing/2014/main" id="{E489C9B3-1A9C-7EF1-AF87-0758FD64A7F3}"/>
              </a:ext>
            </a:extLst>
          </xdr:cNvPr>
          <xdr:cNvGrpSpPr/>
        </xdr:nvGrpSpPr>
        <xdr:grpSpPr>
          <a:xfrm>
            <a:off x="8574984" y="2380062"/>
            <a:ext cx="457200" cy="360459"/>
            <a:chOff x="8490646" y="2387682"/>
            <a:chExt cx="440659" cy="360459"/>
          </a:xfrm>
        </xdr:grpSpPr>
        <xdr:pic>
          <xdr:nvPicPr>
            <xdr:cNvPr id="49" name="Picture 48">
              <a:extLst>
                <a:ext uri="{FF2B5EF4-FFF2-40B4-BE49-F238E27FC236}">
                  <a16:creationId xmlns:a16="http://schemas.microsoft.com/office/drawing/2014/main" id="{552A2EDC-8203-14BD-73DA-ECCECEB95069}"/>
                </a:ext>
              </a:extLst>
            </xdr:cNvPr>
            <xdr:cNvPicPr>
              <a:picLocks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722503" y="2387682"/>
              <a:ext cx="208802" cy="36045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0" name="Picture 49">
              <a:extLst>
                <a:ext uri="{FF2B5EF4-FFF2-40B4-BE49-F238E27FC236}">
                  <a16:creationId xmlns:a16="http://schemas.microsoft.com/office/drawing/2014/main" id="{5ED2F475-550B-5C31-4A9B-7954781FC10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640680" y="2423018"/>
              <a:ext cx="144631" cy="2286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" name="Picture 50">
              <a:extLst>
                <a:ext uri="{FF2B5EF4-FFF2-40B4-BE49-F238E27FC236}">
                  <a16:creationId xmlns:a16="http://schemas.microsoft.com/office/drawing/2014/main" id="{A0EF1956-95DB-2999-91EA-E0BE7297024C}"/>
                </a:ext>
              </a:extLst>
            </xdr:cNvPr>
            <xdr:cNvPicPr>
              <a:picLocks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flipH="1">
              <a:off x="8490646" y="2387682"/>
              <a:ext cx="208794" cy="36045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2" name="Group 51">
            <a:extLst>
              <a:ext uri="{FF2B5EF4-FFF2-40B4-BE49-F238E27FC236}">
                <a16:creationId xmlns:a16="http://schemas.microsoft.com/office/drawing/2014/main" id="{8F839FEF-AA4A-7CAC-E113-91F864027E98}"/>
              </a:ext>
            </a:extLst>
          </xdr:cNvPr>
          <xdr:cNvGrpSpPr/>
        </xdr:nvGrpSpPr>
        <xdr:grpSpPr>
          <a:xfrm>
            <a:off x="9618751" y="2380062"/>
            <a:ext cx="457200" cy="360459"/>
            <a:chOff x="8490646" y="2387682"/>
            <a:chExt cx="440659" cy="360459"/>
          </a:xfrm>
        </xdr:grpSpPr>
        <xdr:pic>
          <xdr:nvPicPr>
            <xdr:cNvPr id="53" name="Picture 52">
              <a:extLst>
                <a:ext uri="{FF2B5EF4-FFF2-40B4-BE49-F238E27FC236}">
                  <a16:creationId xmlns:a16="http://schemas.microsoft.com/office/drawing/2014/main" id="{53FF2258-BFC3-35D8-98CD-C94B808F5908}"/>
                </a:ext>
              </a:extLst>
            </xdr:cNvPr>
            <xdr:cNvPicPr>
              <a:picLocks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722503" y="2387682"/>
              <a:ext cx="208802" cy="36045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4" name="Picture 53">
              <a:extLst>
                <a:ext uri="{FF2B5EF4-FFF2-40B4-BE49-F238E27FC236}">
                  <a16:creationId xmlns:a16="http://schemas.microsoft.com/office/drawing/2014/main" id="{A1FF2AF0-55C3-064D-8DA2-1253B93337B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640680" y="2423018"/>
              <a:ext cx="144631" cy="2286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5" name="Picture 54">
              <a:extLst>
                <a:ext uri="{FF2B5EF4-FFF2-40B4-BE49-F238E27FC236}">
                  <a16:creationId xmlns:a16="http://schemas.microsoft.com/office/drawing/2014/main" id="{6BE0AC14-7B2D-DA29-82FE-ACE7AD653AA0}"/>
                </a:ext>
              </a:extLst>
            </xdr:cNvPr>
            <xdr:cNvPicPr>
              <a:picLocks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flipH="1">
              <a:off x="8490646" y="2387682"/>
              <a:ext cx="208794" cy="36045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64" name="Picture 63">
            <a:extLst>
              <a:ext uri="{FF2B5EF4-FFF2-40B4-BE49-F238E27FC236}">
                <a16:creationId xmlns:a16="http://schemas.microsoft.com/office/drawing/2014/main" id="{617E1C7D-2AD2-4EE4-982D-3D7CDC238943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71777" y="2380062"/>
            <a:ext cx="216640" cy="36045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6" name="Picture 65">
            <a:extLst>
              <a:ext uri="{FF2B5EF4-FFF2-40B4-BE49-F238E27FC236}">
                <a16:creationId xmlns:a16="http://schemas.microsoft.com/office/drawing/2014/main" id="{549973DB-7D05-206B-13DD-AFD7831C0FFB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H="1">
            <a:off x="11683425" y="2380062"/>
            <a:ext cx="216631" cy="36045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</xdr:col>
      <xdr:colOff>342900</xdr:colOff>
      <xdr:row>9</xdr:row>
      <xdr:rowOff>45720</xdr:rowOff>
    </xdr:from>
    <xdr:to>
      <xdr:col>4</xdr:col>
      <xdr:colOff>358140</xdr:colOff>
      <xdr:row>17</xdr:row>
      <xdr:rowOff>114300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085E96B-8001-4E09-9AB4-AA305D77F947}"/>
            </a:ext>
          </a:extLst>
        </xdr:cNvPr>
        <xdr:cNvSpPr/>
      </xdr:nvSpPr>
      <xdr:spPr>
        <a:xfrm>
          <a:off x="1844040" y="1737360"/>
          <a:ext cx="685800" cy="150114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571500</xdr:colOff>
      <xdr:row>8</xdr:row>
      <xdr:rowOff>129540</xdr:rowOff>
    </xdr:from>
    <xdr:to>
      <xdr:col>8</xdr:col>
      <xdr:colOff>0</xdr:colOff>
      <xdr:row>22</xdr:row>
      <xdr:rowOff>15240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118EDF7-746D-4BD3-945C-AC25E8FD5B45}"/>
            </a:ext>
          </a:extLst>
        </xdr:cNvPr>
        <xdr:cNvSpPr/>
      </xdr:nvSpPr>
      <xdr:spPr>
        <a:xfrm>
          <a:off x="4297680" y="1645920"/>
          <a:ext cx="685800" cy="2407920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373380</xdr:colOff>
      <xdr:row>12</xdr:row>
      <xdr:rowOff>114299</xdr:rowOff>
    </xdr:from>
    <xdr:to>
      <xdr:col>27</xdr:col>
      <xdr:colOff>45720</xdr:colOff>
      <xdr:row>13</xdr:row>
      <xdr:rowOff>53338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30BFF42-5DEB-F251-7FDA-89F45D237920}"/>
            </a:ext>
          </a:extLst>
        </xdr:cNvPr>
        <xdr:cNvSpPr/>
      </xdr:nvSpPr>
      <xdr:spPr>
        <a:xfrm flipV="1">
          <a:off x="8001000" y="2339339"/>
          <a:ext cx="3185160" cy="114299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175260</xdr:colOff>
      <xdr:row>17</xdr:row>
      <xdr:rowOff>38096</xdr:rowOff>
    </xdr:from>
    <xdr:to>
      <xdr:col>27</xdr:col>
      <xdr:colOff>0</xdr:colOff>
      <xdr:row>22</xdr:row>
      <xdr:rowOff>38099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33AFEFA-B126-6C04-8809-402812535F0F}"/>
            </a:ext>
          </a:extLst>
        </xdr:cNvPr>
        <xdr:cNvSpPr/>
      </xdr:nvSpPr>
      <xdr:spPr>
        <a:xfrm flipV="1">
          <a:off x="7802880" y="3162296"/>
          <a:ext cx="3337560" cy="914403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236220</xdr:colOff>
      <xdr:row>15</xdr:row>
      <xdr:rowOff>15239</xdr:rowOff>
    </xdr:from>
    <xdr:to>
      <xdr:col>17</xdr:col>
      <xdr:colOff>350520</xdr:colOff>
      <xdr:row>23</xdr:row>
      <xdr:rowOff>76198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AC76DEE-CCBF-4C45-ABDD-54AC12A820D8}"/>
            </a:ext>
          </a:extLst>
        </xdr:cNvPr>
        <xdr:cNvSpPr/>
      </xdr:nvSpPr>
      <xdr:spPr>
        <a:xfrm flipV="1">
          <a:off x="2270760" y="2682239"/>
          <a:ext cx="3101340" cy="1523999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396240</xdr:colOff>
      <xdr:row>16</xdr:row>
      <xdr:rowOff>68579</xdr:rowOff>
    </xdr:from>
    <xdr:to>
      <xdr:col>31</xdr:col>
      <xdr:colOff>266700</xdr:colOff>
      <xdr:row>22</xdr:row>
      <xdr:rowOff>167638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2E58EB5-60F4-F2C9-C023-2495082E3702}"/>
            </a:ext>
          </a:extLst>
        </xdr:cNvPr>
        <xdr:cNvSpPr/>
      </xdr:nvSpPr>
      <xdr:spPr>
        <a:xfrm flipV="1">
          <a:off x="8465820" y="2918459"/>
          <a:ext cx="2415540" cy="1196339"/>
        </a:xfrm>
        <a:prstGeom prst="rect">
          <a:avLst/>
        </a:prstGeom>
        <a:solidFill>
          <a:srgbClr val="F7F7F7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C5D9F1"/>
    <pageSetUpPr fitToPage="1"/>
  </sheetPr>
  <dimension ref="A1:X48"/>
  <sheetViews>
    <sheetView showGridLines="0" showRowColHeaders="0" zoomScaleNormal="100" zoomScaleSheetLayoutView="100" workbookViewId="0"/>
  </sheetViews>
  <sheetFormatPr defaultColWidth="9.109375" defaultRowHeight="14.4" x14ac:dyDescent="0.3"/>
  <cols>
    <col min="1" max="1" width="3.109375" style="84" customWidth="1"/>
    <col min="2" max="2" width="5.5546875" style="92" customWidth="1"/>
    <col min="3" max="3" width="14" style="92" customWidth="1"/>
    <col min="4" max="4" width="7.5546875" style="91" bestFit="1" customWidth="1"/>
    <col min="5" max="5" width="8" style="91" bestFit="1" customWidth="1"/>
    <col min="6" max="6" width="1.6640625" style="153" customWidth="1"/>
    <col min="7" max="7" width="9.44140625" style="153" customWidth="1"/>
    <col min="8" max="8" width="17.6640625" style="92" bestFit="1" customWidth="1"/>
    <col min="9" max="9" width="7.5546875" style="91" bestFit="1" customWidth="1"/>
    <col min="10" max="10" width="8.33203125" style="154" bestFit="1" customWidth="1"/>
    <col min="11" max="11" width="1.6640625" style="86" customWidth="1"/>
    <col min="12" max="12" width="11.109375" style="155" customWidth="1"/>
    <col min="13" max="13" width="1.6640625" style="92" customWidth="1"/>
    <col min="14" max="14" width="21.44140625" style="92" bestFit="1" customWidth="1"/>
    <col min="15" max="15" width="7.5546875" style="91" bestFit="1" customWidth="1"/>
    <col min="16" max="16" width="18.5546875" style="156" customWidth="1"/>
    <col min="17" max="17" width="5.5546875" style="155" customWidth="1"/>
    <col min="18" max="18" width="1.6640625" style="92" customWidth="1"/>
    <col min="19" max="19" width="14.44140625" style="157" customWidth="1"/>
    <col min="20" max="20" width="5.44140625" style="156" customWidth="1"/>
    <col min="21" max="21" width="5.6640625" style="92" bestFit="1" customWidth="1"/>
    <col min="22" max="22" width="5" style="92" bestFit="1" customWidth="1"/>
    <col min="23" max="16384" width="9.109375" style="92"/>
  </cols>
  <sheetData>
    <row r="1" spans="1:23" s="70" customFormat="1" ht="8.4" customHeight="1" x14ac:dyDescent="0.2">
      <c r="A1" s="69" t="s">
        <v>60</v>
      </c>
      <c r="E1" s="71"/>
      <c r="H1" s="170"/>
      <c r="W1" s="72"/>
    </row>
    <row r="2" spans="1:23" s="171" customFormat="1" ht="23.4" x14ac:dyDescent="0.45">
      <c r="A2" s="73"/>
      <c r="C2" s="74" t="s">
        <v>49</v>
      </c>
      <c r="D2" s="172"/>
      <c r="E2" s="172"/>
      <c r="I2" s="172"/>
      <c r="J2" s="172"/>
      <c r="L2" s="173"/>
      <c r="O2" s="172"/>
      <c r="P2" s="174"/>
      <c r="Q2" s="173"/>
      <c r="T2" s="174"/>
    </row>
    <row r="3" spans="1:23" s="175" customFormat="1" ht="18" x14ac:dyDescent="0.35">
      <c r="A3" s="78"/>
      <c r="C3" s="176" t="s">
        <v>217</v>
      </c>
      <c r="D3" s="177"/>
      <c r="E3" s="177"/>
      <c r="F3" s="178"/>
      <c r="G3" s="178"/>
      <c r="I3" s="177"/>
      <c r="J3" s="179"/>
      <c r="K3" s="180"/>
      <c r="L3" s="181"/>
      <c r="O3" s="177"/>
      <c r="P3" s="182"/>
      <c r="Q3" s="183"/>
      <c r="T3" s="182"/>
    </row>
    <row r="4" spans="1:23" s="88" customFormat="1" x14ac:dyDescent="0.3">
      <c r="A4" s="84"/>
      <c r="C4" s="85"/>
      <c r="D4" s="184"/>
      <c r="E4" s="184"/>
      <c r="F4" s="86"/>
      <c r="G4" s="86"/>
      <c r="H4" s="185"/>
      <c r="I4" s="184"/>
      <c r="J4" s="184"/>
      <c r="L4" s="186"/>
      <c r="O4" s="91"/>
      <c r="P4" s="156"/>
      <c r="Q4" s="187"/>
      <c r="T4" s="156"/>
    </row>
    <row r="5" spans="1:23" s="189" customFormat="1" ht="15.6" x14ac:dyDescent="0.3">
      <c r="A5" s="188"/>
      <c r="C5" s="89" t="s">
        <v>347</v>
      </c>
      <c r="D5" s="190"/>
      <c r="E5" s="190"/>
      <c r="F5" s="191"/>
      <c r="G5" s="192"/>
      <c r="H5" s="89" t="s">
        <v>348</v>
      </c>
      <c r="I5" s="193"/>
      <c r="J5" s="190"/>
      <c r="K5" s="191"/>
      <c r="L5" s="190"/>
      <c r="M5" s="89"/>
      <c r="N5" s="89" t="s">
        <v>349</v>
      </c>
      <c r="O5" s="193"/>
      <c r="P5" s="194"/>
      <c r="Q5" s="190"/>
      <c r="T5" s="194"/>
      <c r="V5" s="89"/>
    </row>
    <row r="6" spans="1:23" s="114" customFormat="1" ht="13.8" x14ac:dyDescent="0.3">
      <c r="A6" s="112"/>
      <c r="C6" s="144" t="s">
        <v>350</v>
      </c>
      <c r="D6" s="146"/>
      <c r="E6" s="146"/>
      <c r="F6" s="144"/>
      <c r="G6" s="119"/>
      <c r="H6" s="144" t="s">
        <v>185</v>
      </c>
      <c r="I6" s="145"/>
      <c r="J6" s="146"/>
      <c r="K6" s="144"/>
      <c r="L6" s="146"/>
      <c r="M6" s="148"/>
      <c r="N6" s="144" t="s">
        <v>178</v>
      </c>
      <c r="O6" s="145"/>
      <c r="Q6" s="146"/>
      <c r="T6" s="150"/>
      <c r="V6" s="148"/>
    </row>
    <row r="7" spans="1:23" s="203" customFormat="1" ht="18" customHeight="1" x14ac:dyDescent="0.3">
      <c r="A7" s="195"/>
      <c r="B7" s="196"/>
      <c r="C7" s="197"/>
      <c r="D7" s="198" t="s">
        <v>28</v>
      </c>
      <c r="E7" s="199" t="s">
        <v>226</v>
      </c>
      <c r="F7" s="200"/>
      <c r="G7" s="200"/>
      <c r="H7" s="201"/>
      <c r="I7" s="202" t="s">
        <v>28</v>
      </c>
      <c r="J7" s="199" t="s">
        <v>226</v>
      </c>
      <c r="K7" s="200"/>
      <c r="L7" s="200"/>
      <c r="M7" s="200"/>
      <c r="N7" s="201"/>
      <c r="O7" s="110" t="s">
        <v>27</v>
      </c>
      <c r="P7" s="199" t="s">
        <v>207</v>
      </c>
      <c r="Q7" s="196"/>
      <c r="R7" s="196"/>
      <c r="S7" s="199" t="s">
        <v>11</v>
      </c>
      <c r="T7" s="199"/>
      <c r="U7" s="196"/>
      <c r="V7" s="196"/>
      <c r="W7" s="196"/>
    </row>
    <row r="8" spans="1:23" s="144" customFormat="1" ht="13.8" x14ac:dyDescent="0.3">
      <c r="A8" s="112"/>
      <c r="C8" s="636" t="s">
        <v>26</v>
      </c>
      <c r="D8" s="637">
        <v>4500</v>
      </c>
      <c r="E8" s="638">
        <v>4635</v>
      </c>
      <c r="F8" s="169"/>
      <c r="G8" s="169"/>
      <c r="H8" s="639" t="s">
        <v>10</v>
      </c>
      <c r="I8" s="640">
        <f>I27-SUM(I14,I9:I10)</f>
        <v>3195</v>
      </c>
      <c r="J8" s="641">
        <f>J27-SUM(J14,J9:J10)</f>
        <v>3240.6434285714286</v>
      </c>
      <c r="K8" s="38"/>
      <c r="L8" s="168"/>
      <c r="M8" s="1"/>
      <c r="N8" s="639" t="s">
        <v>1</v>
      </c>
      <c r="O8" s="640">
        <f>E20</f>
        <v>632.64342857142856</v>
      </c>
      <c r="P8" s="642" t="s">
        <v>37</v>
      </c>
      <c r="Q8" s="168"/>
      <c r="R8" s="50"/>
      <c r="S8" s="167" t="s">
        <v>367</v>
      </c>
      <c r="T8" s="643">
        <v>4.7771428571428569E-2</v>
      </c>
    </row>
    <row r="9" spans="1:23" s="144" customFormat="1" ht="13.8" x14ac:dyDescent="0.3">
      <c r="A9" s="112"/>
      <c r="C9" s="644" t="s">
        <v>38</v>
      </c>
      <c r="D9" s="645">
        <v>800</v>
      </c>
      <c r="E9" s="646">
        <v>825</v>
      </c>
      <c r="F9" s="3"/>
      <c r="G9" s="169"/>
      <c r="H9" s="647" t="s">
        <v>44</v>
      </c>
      <c r="I9" s="648">
        <v>901</v>
      </c>
      <c r="J9" s="649">
        <v>955</v>
      </c>
      <c r="K9" s="39"/>
      <c r="L9" s="168"/>
      <c r="M9" s="4"/>
      <c r="N9" s="647" t="s">
        <v>24</v>
      </c>
      <c r="O9" s="648">
        <f>E16</f>
        <v>100</v>
      </c>
      <c r="P9" s="650" t="s">
        <v>203</v>
      </c>
      <c r="Q9" s="168"/>
      <c r="R9" s="51"/>
      <c r="S9" s="167" t="s">
        <v>366</v>
      </c>
      <c r="T9" s="651">
        <f>Financials!T8+1.5%</f>
        <v>6.2771428571428561E-2</v>
      </c>
    </row>
    <row r="10" spans="1:23" s="144" customFormat="1" ht="13.8" x14ac:dyDescent="0.3">
      <c r="A10" s="112"/>
      <c r="C10" s="652" t="s">
        <v>19</v>
      </c>
      <c r="D10" s="653">
        <f>+D8-D9</f>
        <v>3700</v>
      </c>
      <c r="E10" s="654">
        <f>+E8-E9</f>
        <v>3810</v>
      </c>
      <c r="H10" s="655" t="s">
        <v>16</v>
      </c>
      <c r="I10" s="656">
        <v>800</v>
      </c>
      <c r="J10" s="657">
        <v>850</v>
      </c>
      <c r="K10" s="3"/>
      <c r="L10" s="164"/>
      <c r="N10" s="647" t="s">
        <v>197</v>
      </c>
      <c r="O10" s="648"/>
      <c r="P10" s="650"/>
      <c r="Q10" s="164"/>
      <c r="S10" s="167" t="s">
        <v>319</v>
      </c>
      <c r="T10" s="658">
        <v>0.4</v>
      </c>
    </row>
    <row r="11" spans="1:23" s="144" customFormat="1" ht="13.8" x14ac:dyDescent="0.3">
      <c r="A11" s="112"/>
      <c r="C11" s="659" t="s">
        <v>29</v>
      </c>
      <c r="D11" s="653">
        <v>2200</v>
      </c>
      <c r="E11" s="654">
        <v>2200</v>
      </c>
      <c r="H11" s="660" t="s">
        <v>7</v>
      </c>
      <c r="I11" s="648">
        <f>SUM(I8:I10)</f>
        <v>4896</v>
      </c>
      <c r="J11" s="649">
        <f>SUM(J8:J10)</f>
        <v>5045.6434285714286</v>
      </c>
      <c r="L11" s="164"/>
      <c r="M11" s="5"/>
      <c r="N11" s="661" t="s">
        <v>205</v>
      </c>
      <c r="O11" s="648">
        <f>I9-J9</f>
        <v>-54</v>
      </c>
      <c r="P11" s="650" t="s">
        <v>64</v>
      </c>
      <c r="Q11" s="164"/>
      <c r="S11" s="151"/>
      <c r="T11" s="150"/>
    </row>
    <row r="12" spans="1:23" s="144" customFormat="1" ht="13.8" x14ac:dyDescent="0.3">
      <c r="A12" s="112"/>
      <c r="C12" s="659" t="s">
        <v>30</v>
      </c>
      <c r="D12" s="653">
        <v>65</v>
      </c>
      <c r="E12" s="654">
        <v>65</v>
      </c>
      <c r="H12" s="647" t="s">
        <v>43</v>
      </c>
      <c r="I12" s="648">
        <v>1845</v>
      </c>
      <c r="J12" s="649">
        <v>2100</v>
      </c>
      <c r="K12" s="40"/>
      <c r="L12" s="164"/>
      <c r="M12" s="6"/>
      <c r="N12" s="661" t="s">
        <v>35</v>
      </c>
      <c r="O12" s="648">
        <f>I10-J10</f>
        <v>-50</v>
      </c>
      <c r="P12" s="650" t="s">
        <v>202</v>
      </c>
      <c r="Q12" s="164"/>
      <c r="S12" s="151"/>
      <c r="T12" s="150"/>
    </row>
    <row r="13" spans="1:23" s="144" customFormat="1" ht="13.8" x14ac:dyDescent="0.3">
      <c r="A13" s="112"/>
      <c r="C13" s="659" t="s">
        <v>31</v>
      </c>
      <c r="D13" s="653">
        <v>70</v>
      </c>
      <c r="E13" s="654">
        <v>72</v>
      </c>
      <c r="H13" s="647" t="s">
        <v>45</v>
      </c>
      <c r="I13" s="648">
        <v>-161</v>
      </c>
      <c r="J13" s="649">
        <f>I13-E16</f>
        <v>-261</v>
      </c>
      <c r="K13" s="9"/>
      <c r="L13" s="164"/>
      <c r="M13" s="7"/>
      <c r="N13" s="662" t="s">
        <v>36</v>
      </c>
      <c r="O13" s="656">
        <f>J17-I17</f>
        <v>72</v>
      </c>
      <c r="P13" s="663" t="s">
        <v>63</v>
      </c>
      <c r="Q13" s="164"/>
      <c r="S13" s="151"/>
      <c r="T13" s="150"/>
    </row>
    <row r="14" spans="1:23" s="144" customFormat="1" ht="13.8" x14ac:dyDescent="0.3">
      <c r="A14" s="112"/>
      <c r="C14" s="644" t="s">
        <v>32</v>
      </c>
      <c r="D14" s="645">
        <v>180</v>
      </c>
      <c r="E14" s="646">
        <v>165</v>
      </c>
      <c r="H14" s="664" t="s">
        <v>5</v>
      </c>
      <c r="I14" s="656">
        <f>SUM(I12:I13)</f>
        <v>1684</v>
      </c>
      <c r="J14" s="657">
        <f>SUM(J12:J13)</f>
        <v>1839</v>
      </c>
      <c r="L14" s="164"/>
      <c r="M14" s="150"/>
      <c r="N14" s="660" t="s">
        <v>40</v>
      </c>
      <c r="O14" s="648">
        <f>SUM(O8:O13)</f>
        <v>700.64342857142856</v>
      </c>
      <c r="P14" s="650"/>
      <c r="Q14" s="164"/>
      <c r="S14" s="151"/>
      <c r="T14" s="150"/>
    </row>
    <row r="15" spans="1:23" s="144" customFormat="1" ht="13.8" x14ac:dyDescent="0.3">
      <c r="A15" s="112"/>
      <c r="C15" s="652" t="s">
        <v>90</v>
      </c>
      <c r="D15" s="653">
        <f>SUM(D11:D14)</f>
        <v>2515</v>
      </c>
      <c r="E15" s="654">
        <f>SUM(E11:E14)</f>
        <v>2502</v>
      </c>
      <c r="F15" s="166"/>
      <c r="H15" s="660" t="s">
        <v>52</v>
      </c>
      <c r="I15" s="648">
        <f>I11+I14</f>
        <v>6580</v>
      </c>
      <c r="J15" s="649">
        <f>J11+J14</f>
        <v>6884.6434285714286</v>
      </c>
      <c r="K15" s="148"/>
      <c r="L15" s="152"/>
      <c r="M15" s="8"/>
      <c r="N15" s="655" t="s">
        <v>25</v>
      </c>
      <c r="O15" s="656">
        <f>I12-J12</f>
        <v>-255</v>
      </c>
      <c r="P15" s="663" t="s">
        <v>65</v>
      </c>
      <c r="Q15" s="152"/>
      <c r="S15" s="151"/>
      <c r="T15" s="150"/>
    </row>
    <row r="16" spans="1:23" s="144" customFormat="1" ht="13.8" x14ac:dyDescent="0.3">
      <c r="A16" s="112"/>
      <c r="C16" s="644" t="s">
        <v>24</v>
      </c>
      <c r="D16" s="645">
        <v>115</v>
      </c>
      <c r="E16" s="646">
        <v>100</v>
      </c>
      <c r="F16" s="9"/>
      <c r="H16" s="660"/>
      <c r="I16" s="648"/>
      <c r="J16" s="649"/>
      <c r="L16" s="164"/>
      <c r="N16" s="665" t="s">
        <v>42</v>
      </c>
      <c r="O16" s="666">
        <f>SUM(O15)</f>
        <v>-255</v>
      </c>
      <c r="P16" s="650"/>
      <c r="Q16" s="164"/>
      <c r="S16" s="151"/>
      <c r="T16" s="150"/>
    </row>
    <row r="17" spans="1:24" s="144" customFormat="1" ht="13.8" x14ac:dyDescent="0.3">
      <c r="A17" s="112"/>
      <c r="C17" s="652" t="s">
        <v>4</v>
      </c>
      <c r="D17" s="653">
        <f>D10-D15-D16</f>
        <v>1070</v>
      </c>
      <c r="E17" s="654">
        <f>E10-E15-E16</f>
        <v>1208</v>
      </c>
      <c r="F17" s="166"/>
      <c r="H17" s="647" t="s">
        <v>14</v>
      </c>
      <c r="I17" s="648">
        <v>180</v>
      </c>
      <c r="J17" s="649">
        <v>252</v>
      </c>
      <c r="K17" s="41"/>
      <c r="L17" s="164"/>
      <c r="M17" s="2"/>
      <c r="N17" s="647" t="s">
        <v>75</v>
      </c>
      <c r="O17" s="648">
        <f>J18-I18</f>
        <v>50</v>
      </c>
      <c r="P17" s="650" t="s">
        <v>198</v>
      </c>
      <c r="Q17" s="164"/>
      <c r="S17" s="151"/>
      <c r="T17" s="150"/>
    </row>
    <row r="18" spans="1:24" s="144" customFormat="1" ht="13.8" x14ac:dyDescent="0.3">
      <c r="A18" s="112"/>
      <c r="C18" s="659" t="s">
        <v>34</v>
      </c>
      <c r="D18" s="653">
        <f>Financials!$T$8*I18+$T$9*I20</f>
        <v>170.03714285714281</v>
      </c>
      <c r="E18" s="654">
        <f>Financials!$T$8*J18+$T$9*J20</f>
        <v>153.59428571428569</v>
      </c>
      <c r="H18" s="655" t="s">
        <v>76</v>
      </c>
      <c r="I18" s="656">
        <v>800</v>
      </c>
      <c r="J18" s="657">
        <v>850</v>
      </c>
      <c r="K18" s="42"/>
      <c r="L18" s="164"/>
      <c r="M18" s="10"/>
      <c r="N18" s="647" t="s">
        <v>67</v>
      </c>
      <c r="O18" s="648">
        <f>J20-I20</f>
        <v>-300</v>
      </c>
      <c r="P18" s="650" t="s">
        <v>199</v>
      </c>
      <c r="Q18" s="164"/>
      <c r="S18" s="151"/>
      <c r="T18" s="150"/>
    </row>
    <row r="19" spans="1:24" s="144" customFormat="1" ht="13.8" x14ac:dyDescent="0.3">
      <c r="A19" s="112"/>
      <c r="C19" s="644" t="s">
        <v>33</v>
      </c>
      <c r="D19" s="645">
        <f>0.4*(D17-D18)</f>
        <v>359.98514285714288</v>
      </c>
      <c r="E19" s="646">
        <f>0.4*(E17-E18)</f>
        <v>421.76228571428578</v>
      </c>
      <c r="H19" s="660" t="s">
        <v>8</v>
      </c>
      <c r="I19" s="648">
        <f>SUM(I17:I18)</f>
        <v>980</v>
      </c>
      <c r="J19" s="649">
        <f>SUM(J17:J18)</f>
        <v>1102</v>
      </c>
      <c r="K19" s="148"/>
      <c r="L19" s="164"/>
      <c r="M19" s="11"/>
      <c r="N19" s="647" t="s">
        <v>227</v>
      </c>
      <c r="O19" s="648">
        <f>J23-I23</f>
        <v>0</v>
      </c>
      <c r="P19" s="650" t="s">
        <v>200</v>
      </c>
      <c r="Q19" s="164"/>
      <c r="S19" s="151"/>
      <c r="T19" s="150"/>
      <c r="W19" s="114"/>
      <c r="X19" s="114"/>
    </row>
    <row r="20" spans="1:24" s="144" customFormat="1" ht="13.8" x14ac:dyDescent="0.3">
      <c r="A20" s="112"/>
      <c r="C20" s="652" t="s">
        <v>1</v>
      </c>
      <c r="D20" s="653">
        <f>D17-D18-D19</f>
        <v>539.97771428571423</v>
      </c>
      <c r="E20" s="654">
        <f>E17-E18-E19</f>
        <v>632.64342857142856</v>
      </c>
      <c r="F20" s="12"/>
      <c r="H20" s="667" t="s">
        <v>77</v>
      </c>
      <c r="I20" s="656">
        <v>2100</v>
      </c>
      <c r="J20" s="657">
        <v>1800</v>
      </c>
      <c r="K20" s="43"/>
      <c r="L20" s="164"/>
      <c r="M20" s="13"/>
      <c r="N20" s="647" t="s">
        <v>228</v>
      </c>
      <c r="O20" s="648">
        <f>J24-I24</f>
        <v>0</v>
      </c>
      <c r="P20" s="650" t="s">
        <v>200</v>
      </c>
      <c r="Q20" s="164"/>
      <c r="S20" s="151"/>
      <c r="T20" s="150"/>
      <c r="W20" s="114"/>
      <c r="X20" s="114"/>
    </row>
    <row r="21" spans="1:24" s="144" customFormat="1" ht="13.8" x14ac:dyDescent="0.3">
      <c r="A21" s="112"/>
      <c r="C21" s="668" t="s">
        <v>22</v>
      </c>
      <c r="D21" s="669">
        <v>150</v>
      </c>
      <c r="E21" s="670">
        <v>150</v>
      </c>
      <c r="F21" s="14"/>
      <c r="H21" s="660" t="s">
        <v>53</v>
      </c>
      <c r="I21" s="648">
        <f>SUM(I19:I20)</f>
        <v>3080</v>
      </c>
      <c r="J21" s="649">
        <f>SUM(J19:J20)</f>
        <v>2902</v>
      </c>
      <c r="L21" s="164"/>
      <c r="M21" s="15"/>
      <c r="N21" s="655" t="s">
        <v>22</v>
      </c>
      <c r="O21" s="656">
        <f>-E21</f>
        <v>-150</v>
      </c>
      <c r="P21" s="663" t="s">
        <v>201</v>
      </c>
      <c r="Q21" s="164"/>
      <c r="S21" s="151"/>
      <c r="T21" s="150"/>
      <c r="W21" s="114"/>
      <c r="X21" s="114"/>
    </row>
    <row r="22" spans="1:24" s="144" customFormat="1" ht="13.8" x14ac:dyDescent="0.3">
      <c r="A22" s="112"/>
      <c r="C22" s="150"/>
      <c r="D22" s="145"/>
      <c r="E22" s="145"/>
      <c r="H22" s="660"/>
      <c r="I22" s="648"/>
      <c r="J22" s="649"/>
      <c r="L22" s="164"/>
      <c r="N22" s="665" t="s">
        <v>41</v>
      </c>
      <c r="O22" s="666">
        <f>SUM(O17:O21)</f>
        <v>-400</v>
      </c>
      <c r="P22" s="650"/>
      <c r="Q22" s="164"/>
      <c r="S22" s="151"/>
      <c r="T22" s="150"/>
      <c r="W22" s="114"/>
      <c r="X22" s="114"/>
    </row>
    <row r="23" spans="1:24" s="144" customFormat="1" ht="13.8" x14ac:dyDescent="0.3">
      <c r="A23" s="112"/>
      <c r="D23" s="145"/>
      <c r="E23" s="145"/>
      <c r="H23" s="671" t="s">
        <v>81</v>
      </c>
      <c r="I23" s="648">
        <v>500</v>
      </c>
      <c r="J23" s="649">
        <v>500</v>
      </c>
      <c r="K23" s="44"/>
      <c r="L23" s="164"/>
      <c r="N23" s="672" t="s">
        <v>190</v>
      </c>
      <c r="O23" s="648">
        <f>SUM(O14,O16,O22)</f>
        <v>45.643428571428558</v>
      </c>
      <c r="P23" s="673"/>
      <c r="Q23" s="164"/>
      <c r="S23" s="151"/>
      <c r="T23" s="150"/>
      <c r="W23" s="112"/>
      <c r="X23" s="165"/>
    </row>
    <row r="24" spans="1:24" s="144" customFormat="1" ht="13.8" x14ac:dyDescent="0.3">
      <c r="A24" s="112"/>
      <c r="D24" s="145"/>
      <c r="E24" s="145"/>
      <c r="H24" s="647" t="s">
        <v>12</v>
      </c>
      <c r="I24" s="648">
        <v>1600</v>
      </c>
      <c r="J24" s="649">
        <v>1600</v>
      </c>
      <c r="K24" s="45"/>
      <c r="L24" s="164"/>
      <c r="M24" s="16"/>
      <c r="N24" s="674" t="str">
        <f>"∆ Balance: "&amp;TEXT(J8,"0,000")&amp;" - "&amp;TEXT(I8,"0,000")</f>
        <v>∆ Balance: 3,241 - 3,195</v>
      </c>
      <c r="O24" s="675">
        <f>J8-I8</f>
        <v>45.643428571428558</v>
      </c>
      <c r="P24" s="676"/>
      <c r="Q24" s="164"/>
      <c r="S24" s="151"/>
      <c r="T24" s="150"/>
    </row>
    <row r="25" spans="1:24" s="144" customFormat="1" ht="13.8" x14ac:dyDescent="0.3">
      <c r="A25" s="112"/>
      <c r="D25" s="145"/>
      <c r="E25" s="145"/>
      <c r="F25" s="166"/>
      <c r="H25" s="655" t="s">
        <v>18</v>
      </c>
      <c r="I25" s="656">
        <v>1400</v>
      </c>
      <c r="J25" s="657">
        <f>E20-E21+I25</f>
        <v>1882.6434285714286</v>
      </c>
      <c r="K25" s="14"/>
      <c r="L25" s="164"/>
      <c r="O25" s="145"/>
      <c r="P25" s="150"/>
      <c r="Q25" s="164"/>
      <c r="S25" s="151"/>
      <c r="T25" s="150"/>
    </row>
    <row r="26" spans="1:24" s="144" customFormat="1" ht="13.8" x14ac:dyDescent="0.3">
      <c r="A26" s="112"/>
      <c r="D26" s="145"/>
      <c r="E26" s="146"/>
      <c r="F26" s="147"/>
      <c r="G26" s="147"/>
      <c r="H26" s="660" t="s">
        <v>54</v>
      </c>
      <c r="I26" s="648">
        <f>SUM(I23:I25)</f>
        <v>3500</v>
      </c>
      <c r="J26" s="649">
        <f>SUM(J23:J25)</f>
        <v>3982.6434285714286</v>
      </c>
      <c r="K26" s="148"/>
      <c r="L26" s="149"/>
      <c r="O26" s="145"/>
      <c r="P26" s="150"/>
      <c r="Q26" s="149"/>
      <c r="S26" s="151"/>
      <c r="T26" s="150"/>
    </row>
    <row r="27" spans="1:24" s="144" customFormat="1" ht="13.8" x14ac:dyDescent="0.3">
      <c r="A27" s="112"/>
      <c r="D27" s="145"/>
      <c r="E27" s="145"/>
      <c r="H27" s="677" t="s">
        <v>55</v>
      </c>
      <c r="I27" s="675">
        <f>SUM(I21,I26)</f>
        <v>6580</v>
      </c>
      <c r="J27" s="678">
        <f>SUM(J21,J26)</f>
        <v>6884.6434285714286</v>
      </c>
      <c r="K27" s="148"/>
      <c r="L27" s="152"/>
      <c r="O27" s="145"/>
      <c r="P27" s="150"/>
      <c r="Q27" s="152"/>
      <c r="S27" s="151"/>
      <c r="T27" s="150"/>
    </row>
    <row r="28" spans="1:24" x14ac:dyDescent="0.3">
      <c r="F28" s="92"/>
    </row>
    <row r="29" spans="1:24" x14ac:dyDescent="0.3">
      <c r="F29" s="92"/>
      <c r="K29" s="92"/>
    </row>
    <row r="30" spans="1:24" x14ac:dyDescent="0.3">
      <c r="I30" s="154"/>
    </row>
    <row r="31" spans="1:24" x14ac:dyDescent="0.3">
      <c r="I31" s="154"/>
      <c r="K31" s="153"/>
    </row>
    <row r="32" spans="1:24" s="159" customFormat="1" x14ac:dyDescent="0.3">
      <c r="A32" s="158"/>
      <c r="D32" s="160"/>
      <c r="E32" s="160"/>
      <c r="G32" s="153"/>
      <c r="I32" s="160"/>
      <c r="J32" s="160"/>
      <c r="L32" s="155"/>
      <c r="O32" s="160"/>
      <c r="P32" s="161"/>
      <c r="Q32" s="155"/>
      <c r="T32" s="161"/>
    </row>
    <row r="33" spans="3:11" x14ac:dyDescent="0.3">
      <c r="C33" s="159"/>
      <c r="D33" s="160"/>
      <c r="E33" s="160"/>
      <c r="F33" s="162"/>
      <c r="H33" s="159"/>
      <c r="I33" s="160"/>
      <c r="J33" s="160"/>
      <c r="K33" s="162"/>
    </row>
    <row r="34" spans="3:11" x14ac:dyDescent="0.3">
      <c r="J34" s="91"/>
      <c r="K34" s="153"/>
    </row>
    <row r="35" spans="3:11" x14ac:dyDescent="0.3">
      <c r="I35" s="163"/>
      <c r="J35" s="91"/>
      <c r="K35" s="153"/>
    </row>
    <row r="36" spans="3:11" x14ac:dyDescent="0.3">
      <c r="F36" s="92"/>
      <c r="J36" s="91"/>
      <c r="K36" s="153"/>
    </row>
    <row r="37" spans="3:11" x14ac:dyDescent="0.3">
      <c r="F37" s="92"/>
      <c r="I37" s="163"/>
    </row>
    <row r="38" spans="3:11" x14ac:dyDescent="0.3">
      <c r="F38" s="92"/>
      <c r="I38" s="163"/>
    </row>
    <row r="39" spans="3:11" x14ac:dyDescent="0.3">
      <c r="F39" s="92"/>
      <c r="I39" s="163"/>
    </row>
    <row r="40" spans="3:11" x14ac:dyDescent="0.3">
      <c r="F40" s="92"/>
      <c r="I40" s="163"/>
    </row>
    <row r="41" spans="3:11" x14ac:dyDescent="0.3">
      <c r="F41" s="92"/>
      <c r="I41" s="163"/>
    </row>
    <row r="42" spans="3:11" x14ac:dyDescent="0.3">
      <c r="F42" s="92"/>
      <c r="I42" s="163"/>
    </row>
    <row r="43" spans="3:11" x14ac:dyDescent="0.3">
      <c r="F43" s="92"/>
      <c r="I43" s="163"/>
    </row>
    <row r="44" spans="3:11" x14ac:dyDescent="0.3">
      <c r="I44" s="163"/>
    </row>
    <row r="45" spans="3:11" x14ac:dyDescent="0.3">
      <c r="I45" s="163"/>
    </row>
    <row r="46" spans="3:11" x14ac:dyDescent="0.3">
      <c r="I46" s="163"/>
    </row>
    <row r="47" spans="3:11" x14ac:dyDescent="0.3">
      <c r="I47" s="163"/>
    </row>
    <row r="48" spans="3:11" x14ac:dyDescent="0.3">
      <c r="I48" s="163"/>
    </row>
  </sheetData>
  <sheetProtection algorithmName="SHA-512" hashValue="Tt6RKqrqTdCsIKmYKD/e4i+yigq3dYiRZXyBvg8hv9jLtQ/FumzLYMcs+GZ+Tp2zXQhZyXGXrLxDhAwULfQiwA==" saltValue="WejshhwK33x7vFz+60fW4Q==" spinCount="100000" sheet="1" objects="1" scenarios="1" selectLockedCells="1" selectUnlockedCells="1"/>
  <conditionalFormatting sqref="K15:L15 K27:L27">
    <cfRule type="expression" dxfId="6" priority="1">
      <formula>IF(K15=_xlfn.UNICHAR(10006),TRUE,FALSE)</formula>
    </cfRule>
  </conditionalFormatting>
  <conditionalFormatting sqref="P24 R24">
    <cfRule type="expression" dxfId="5" priority="7">
      <formula>IF(P24=_xlfn.UNICHAR(10006),TRUE,FALSE)</formula>
    </cfRule>
  </conditionalFormatting>
  <conditionalFormatting sqref="Q15:R15">
    <cfRule type="expression" dxfId="4" priority="3">
      <formula>IF(Q15=_xlfn.UNICHAR(10006),TRUE,FALSE)</formula>
    </cfRule>
  </conditionalFormatting>
  <conditionalFormatting sqref="Q27:R27">
    <cfRule type="expression" dxfId="3" priority="4">
      <formula>IF(Q27=_xlfn.UNICHAR(10006),TRUE,FALSE)</formula>
    </cfRule>
  </conditionalFormatting>
  <printOptions horizontalCentered="1"/>
  <pageMargins left="0.5" right="0.5" top="0.75" bottom="0.5" header="0.5" footer="0.5"/>
  <pageSetup orientation="landscape" r:id="rId1"/>
  <headerFooter scaleWithDoc="0" alignWithMargins="0">
    <oddFooter>&amp;LFinancial Statement Analysis&amp;RPage &amp;P of &amp;N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5A01E-6281-4F57-8140-27B22E695454}">
  <sheetPr>
    <tabColor rgb="FFEBF1DE"/>
  </sheetPr>
  <dimension ref="A1:AK49"/>
  <sheetViews>
    <sheetView showGridLines="0" showRowColHeaders="0" zoomScale="85" zoomScaleNormal="85" zoomScaleSheetLayoutView="130" workbookViewId="0"/>
  </sheetViews>
  <sheetFormatPr defaultColWidth="11.5546875" defaultRowHeight="14.4" x14ac:dyDescent="0.3"/>
  <cols>
    <col min="1" max="1" width="3.109375" style="84" customWidth="1"/>
    <col min="2" max="2" width="5.5546875" style="84" customWidth="1"/>
    <col min="3" max="3" width="9.33203125" style="84" customWidth="1"/>
    <col min="4" max="4" width="7.21875" style="518" customWidth="1"/>
    <col min="5" max="5" width="5.21875" style="519" customWidth="1"/>
    <col min="6" max="6" width="2" style="519" customWidth="1"/>
    <col min="7" max="7" width="12.44140625" style="157" bestFit="1" customWidth="1"/>
    <col min="8" max="8" width="2" style="520" customWidth="1"/>
    <col min="9" max="9" width="12.21875" style="157" bestFit="1" customWidth="1"/>
    <col min="10" max="10" width="11.44140625" style="157" customWidth="1"/>
    <col min="11" max="11" width="22.21875" style="157" bestFit="1" customWidth="1"/>
    <col min="12" max="12" width="7" style="112" bestFit="1" customWidth="1"/>
    <col min="13" max="13" width="4.6640625" style="145" customWidth="1"/>
    <col min="14" max="14" width="3.6640625" style="145" customWidth="1"/>
    <col min="15" max="15" width="3" style="145" bestFit="1" customWidth="1"/>
    <col min="16" max="16" width="5.44140625" style="521" bestFit="1" customWidth="1"/>
    <col min="17" max="17" width="1.6640625" style="524" customWidth="1"/>
    <col min="18" max="18" width="3" style="145" bestFit="1" customWidth="1"/>
    <col min="19" max="19" width="8" style="525" bestFit="1" customWidth="1"/>
    <col min="20" max="20" width="4.77734375" style="526" bestFit="1" customWidth="1"/>
    <col min="21" max="21" width="1.6640625" style="524" customWidth="1"/>
    <col min="22" max="22" width="3.5546875" style="145" customWidth="1"/>
    <col min="23" max="23" width="4.109375" style="145" bestFit="1" customWidth="1"/>
    <col min="24" max="24" width="8.44140625" style="379" bestFit="1" customWidth="1"/>
    <col min="25" max="25" width="4.77734375" style="514" bestFit="1" customWidth="1"/>
    <col min="26" max="26" width="1.6640625" style="524" customWidth="1"/>
    <col min="27" max="27" width="4.77734375" style="514" bestFit="1" customWidth="1"/>
    <col min="28" max="29" width="11.5546875" style="514"/>
    <col min="30" max="30" width="15" style="514" customWidth="1"/>
    <col min="31" max="33" width="11.5546875" style="514"/>
    <col min="34" max="34" width="52.44140625" style="514" bestFit="1" customWidth="1"/>
    <col min="35" max="35" width="7" style="514" bestFit="1" customWidth="1"/>
    <col min="36" max="36" width="44.77734375" style="514" bestFit="1" customWidth="1"/>
    <col min="37" max="37" width="24.5546875" style="514" bestFit="1" customWidth="1"/>
    <col min="38" max="38" width="11.5546875" style="514"/>
    <col min="39" max="39" width="9.88671875" style="514" bestFit="1" customWidth="1"/>
    <col min="40" max="40" width="22.21875" style="514" bestFit="1" customWidth="1"/>
    <col min="41" max="41" width="6.109375" style="514" bestFit="1" customWidth="1"/>
    <col min="42" max="16384" width="11.5546875" style="514"/>
  </cols>
  <sheetData>
    <row r="1" spans="1:37" s="70" customFormat="1" ht="8.4" customHeight="1" x14ac:dyDescent="0.2">
      <c r="A1" s="69" t="s">
        <v>60</v>
      </c>
      <c r="E1" s="71"/>
      <c r="H1" s="170"/>
      <c r="W1" s="72"/>
    </row>
    <row r="2" spans="1:37" s="439" customFormat="1" ht="23.4" x14ac:dyDescent="0.45">
      <c r="A2" s="84"/>
      <c r="B2"/>
      <c r="C2" s="74" t="s">
        <v>153</v>
      </c>
      <c r="E2" s="375"/>
      <c r="F2" s="375"/>
      <c r="H2" s="375"/>
      <c r="L2" s="171"/>
      <c r="M2" s="172"/>
      <c r="N2" s="172"/>
      <c r="O2" s="172"/>
      <c r="Q2" s="200"/>
      <c r="R2" s="200"/>
      <c r="S2" s="200"/>
      <c r="T2" s="200"/>
      <c r="U2" s="200"/>
      <c r="V2" s="200"/>
      <c r="W2" s="536"/>
      <c r="X2" s="200"/>
      <c r="Y2" s="200"/>
      <c r="Z2" s="200"/>
      <c r="AA2" s="200"/>
      <c r="AB2" s="200"/>
      <c r="AC2" s="200"/>
      <c r="AD2" s="200"/>
    </row>
    <row r="3" spans="1:37" s="538" customFormat="1" ht="18" x14ac:dyDescent="0.35">
      <c r="A3" s="547"/>
      <c r="B3"/>
      <c r="C3" s="537" t="s">
        <v>89</v>
      </c>
      <c r="E3" s="539"/>
      <c r="F3" s="539"/>
      <c r="H3" s="540"/>
      <c r="I3" s="541"/>
      <c r="J3" s="541"/>
      <c r="K3" s="541"/>
      <c r="M3" s="542"/>
      <c r="N3" s="542"/>
      <c r="O3" s="542"/>
      <c r="Q3" s="200"/>
      <c r="R3" s="200"/>
      <c r="S3" s="200"/>
      <c r="T3" s="200"/>
      <c r="U3" s="200"/>
      <c r="V3" s="200"/>
      <c r="W3" s="536"/>
      <c r="X3" s="200"/>
      <c r="Y3" s="200"/>
      <c r="Z3" s="200"/>
      <c r="AA3" s="200"/>
      <c r="AB3" s="200"/>
      <c r="AC3" s="200"/>
      <c r="AD3" s="200"/>
    </row>
    <row r="4" spans="1:37" s="88" customFormat="1" x14ac:dyDescent="0.3">
      <c r="A4" s="112"/>
      <c r="C4" s="85"/>
      <c r="D4" s="86"/>
      <c r="E4" s="378"/>
      <c r="F4" s="378"/>
      <c r="G4" s="86"/>
      <c r="H4" s="378"/>
      <c r="I4" s="185"/>
      <c r="J4" s="185"/>
      <c r="K4" s="185"/>
      <c r="M4" s="91"/>
      <c r="N4" s="91"/>
      <c r="O4" s="91"/>
      <c r="Q4" s="479"/>
      <c r="S4" s="479"/>
      <c r="T4" s="479"/>
      <c r="U4" s="479"/>
      <c r="V4" s="479"/>
      <c r="W4" s="543"/>
      <c r="X4" s="479"/>
      <c r="Y4" s="479"/>
      <c r="Z4" s="479"/>
      <c r="AA4" s="479"/>
      <c r="AB4" s="479"/>
      <c r="AC4" s="479"/>
      <c r="AD4" s="479"/>
    </row>
    <row r="5" spans="1:37" s="544" customFormat="1" ht="15.6" x14ac:dyDescent="0.3">
      <c r="A5" s="144"/>
      <c r="C5" s="89" t="s">
        <v>258</v>
      </c>
      <c r="D5" s="93"/>
      <c r="E5" s="448"/>
      <c r="F5" s="448"/>
      <c r="G5" s="93"/>
      <c r="H5" s="448"/>
      <c r="I5" s="545"/>
      <c r="J5" s="545"/>
      <c r="K5" s="545"/>
      <c r="L5" s="88"/>
      <c r="M5" s="91"/>
      <c r="N5" s="91"/>
      <c r="O5" s="91"/>
      <c r="P5" s="144"/>
      <c r="Q5" s="479"/>
      <c r="R5" s="479"/>
      <c r="S5" s="479"/>
      <c r="T5" s="479"/>
      <c r="U5" s="479"/>
      <c r="V5" s="479"/>
      <c r="W5" s="543"/>
      <c r="X5" s="479"/>
      <c r="Y5" s="479"/>
      <c r="Z5" s="479"/>
      <c r="AA5" s="479"/>
      <c r="AB5" s="479"/>
      <c r="AC5" s="479"/>
      <c r="AD5" s="479"/>
    </row>
    <row r="6" spans="1:37" s="88" customFormat="1" ht="9.6" customHeight="1" x14ac:dyDescent="0.3">
      <c r="A6" s="144"/>
      <c r="E6" s="84"/>
      <c r="F6" s="84"/>
      <c r="H6" s="124"/>
      <c r="I6" s="546"/>
      <c r="J6" s="546"/>
      <c r="K6" s="546"/>
      <c r="L6" s="114"/>
      <c r="M6" s="145"/>
      <c r="N6" s="145"/>
      <c r="O6" s="145"/>
      <c r="R6" s="91"/>
      <c r="V6" s="91"/>
      <c r="W6" s="91"/>
    </row>
    <row r="7" spans="1:37" s="549" customFormat="1" x14ac:dyDescent="0.3">
      <c r="A7" s="144"/>
      <c r="B7" s="548"/>
      <c r="C7" s="144" t="s">
        <v>352</v>
      </c>
      <c r="D7" s="479"/>
      <c r="E7" s="547"/>
      <c r="F7" s="547"/>
      <c r="G7" s="479"/>
      <c r="H7" s="547"/>
      <c r="I7" s="479"/>
      <c r="J7" s="479"/>
      <c r="K7" s="479"/>
      <c r="M7" s="543"/>
      <c r="N7" s="550" t="s">
        <v>333</v>
      </c>
      <c r="O7" s="550"/>
      <c r="Q7" s="551"/>
      <c r="R7" s="551"/>
      <c r="S7" s="551"/>
      <c r="T7" s="551"/>
      <c r="U7" s="551"/>
      <c r="V7" s="551"/>
      <c r="W7" s="551"/>
      <c r="X7" s="551"/>
      <c r="Y7" s="551"/>
      <c r="Z7" s="551"/>
    </row>
    <row r="8" spans="1:37" s="114" customFormat="1" ht="7.2" customHeight="1" x14ac:dyDescent="0.3">
      <c r="A8" s="144"/>
      <c r="B8" s="88"/>
      <c r="C8" s="144"/>
      <c r="D8" s="144"/>
      <c r="E8" s="112"/>
      <c r="F8" s="112"/>
      <c r="G8" s="144"/>
      <c r="H8" s="112"/>
      <c r="I8" s="144"/>
      <c r="J8" s="144"/>
      <c r="K8" s="144"/>
      <c r="M8" s="145"/>
      <c r="N8" s="964" t="s">
        <v>327</v>
      </c>
      <c r="O8" s="964"/>
      <c r="P8" s="964"/>
      <c r="Q8" s="964"/>
      <c r="R8" s="964"/>
      <c r="S8" s="964"/>
      <c r="T8" s="964"/>
      <c r="U8" s="964"/>
      <c r="V8" s="964"/>
      <c r="W8" s="964"/>
      <c r="X8" s="964"/>
      <c r="Y8" s="964"/>
      <c r="Z8" s="964"/>
      <c r="AA8" s="964"/>
      <c r="AB8" s="964"/>
      <c r="AC8" s="964"/>
    </row>
    <row r="9" spans="1:37" s="144" customFormat="1" ht="13.8" x14ac:dyDescent="0.3">
      <c r="C9" s="962" t="s">
        <v>326</v>
      </c>
      <c r="D9" s="962"/>
      <c r="E9" s="962"/>
      <c r="F9" s="962"/>
      <c r="G9" s="962"/>
      <c r="H9" s="962"/>
      <c r="I9" s="962"/>
      <c r="J9" s="962"/>
      <c r="K9" s="962"/>
      <c r="M9" s="145"/>
      <c r="N9" s="964"/>
      <c r="O9" s="964"/>
      <c r="P9" s="964"/>
      <c r="Q9" s="964"/>
      <c r="R9" s="964"/>
      <c r="S9" s="964"/>
      <c r="T9" s="964"/>
      <c r="U9" s="964"/>
      <c r="V9" s="964"/>
      <c r="W9" s="964"/>
      <c r="X9" s="964"/>
      <c r="Y9" s="964"/>
      <c r="Z9" s="964"/>
      <c r="AA9" s="964"/>
      <c r="AB9" s="964"/>
      <c r="AC9" s="964"/>
      <c r="AK9" s="112"/>
    </row>
    <row r="10" spans="1:37" s="144" customFormat="1" ht="7.2" customHeight="1" x14ac:dyDescent="0.3">
      <c r="A10" s="479"/>
      <c r="C10" s="962"/>
      <c r="D10" s="962"/>
      <c r="E10" s="962"/>
      <c r="F10" s="962"/>
      <c r="G10" s="962"/>
      <c r="H10" s="962"/>
      <c r="I10" s="962"/>
      <c r="J10" s="962"/>
      <c r="K10" s="962"/>
      <c r="M10" s="145"/>
      <c r="N10" s="963" t="s">
        <v>243</v>
      </c>
      <c r="O10" s="963"/>
      <c r="P10" s="963"/>
      <c r="Q10" s="963"/>
      <c r="R10" s="963"/>
      <c r="S10" s="963"/>
      <c r="T10" s="963"/>
      <c r="U10" s="963"/>
      <c r="V10" s="963"/>
      <c r="W10" s="963"/>
      <c r="X10" s="963"/>
      <c r="Y10" s="963"/>
      <c r="Z10" s="963"/>
      <c r="AA10" s="963"/>
      <c r="AB10" s="963"/>
      <c r="AC10" s="963"/>
      <c r="AK10" s="112"/>
    </row>
    <row r="11" spans="1:37" s="144" customFormat="1" ht="7.2" customHeight="1" x14ac:dyDescent="0.3">
      <c r="A11" s="479"/>
      <c r="C11" s="961" t="s">
        <v>351</v>
      </c>
      <c r="D11" s="961"/>
      <c r="E11" s="961"/>
      <c r="F11" s="961"/>
      <c r="G11" s="961"/>
      <c r="H11" s="961"/>
      <c r="I11" s="961"/>
      <c r="J11" s="961"/>
      <c r="K11" s="961"/>
      <c r="M11" s="145"/>
      <c r="N11" s="963"/>
      <c r="O11" s="963"/>
      <c r="P11" s="963"/>
      <c r="Q11" s="963"/>
      <c r="R11" s="963"/>
      <c r="S11" s="963"/>
      <c r="T11" s="963"/>
      <c r="U11" s="963"/>
      <c r="V11" s="963"/>
      <c r="W11" s="963"/>
      <c r="X11" s="963"/>
      <c r="Y11" s="963"/>
      <c r="Z11" s="963"/>
      <c r="AA11" s="963"/>
      <c r="AB11" s="963"/>
      <c r="AC11" s="963"/>
      <c r="AK11" s="112"/>
    </row>
    <row r="12" spans="1:37" s="144" customFormat="1" ht="7.2" customHeight="1" x14ac:dyDescent="0.3">
      <c r="C12" s="961"/>
      <c r="D12" s="961"/>
      <c r="E12" s="961"/>
      <c r="F12" s="961"/>
      <c r="G12" s="961"/>
      <c r="H12" s="961"/>
      <c r="I12" s="961"/>
      <c r="J12" s="961"/>
      <c r="K12" s="961"/>
      <c r="M12" s="145"/>
      <c r="N12" s="150"/>
      <c r="O12" s="150"/>
      <c r="P12" s="150"/>
      <c r="Q12" s="552"/>
      <c r="R12" s="552"/>
      <c r="S12" s="552"/>
      <c r="T12" s="552"/>
      <c r="U12" s="552"/>
      <c r="V12" s="552"/>
      <c r="W12" s="552"/>
      <c r="X12" s="552"/>
      <c r="Y12" s="552"/>
      <c r="Z12" s="552"/>
      <c r="AA12" s="553"/>
      <c r="AB12" s="553"/>
      <c r="AC12" s="150"/>
      <c r="AK12" s="112"/>
    </row>
    <row r="13" spans="1:37" s="144" customFormat="1" ht="13.8" x14ac:dyDescent="0.3">
      <c r="B13" s="529"/>
      <c r="C13" s="529" t="s">
        <v>353</v>
      </c>
      <c r="D13" s="529"/>
      <c r="E13" s="529"/>
      <c r="F13" s="529"/>
      <c r="G13" s="529"/>
      <c r="H13" s="529"/>
      <c r="I13" s="529"/>
      <c r="J13" s="529"/>
      <c r="K13" s="529"/>
      <c r="N13" s="531" t="s">
        <v>328</v>
      </c>
      <c r="O13" s="531"/>
      <c r="P13" s="150"/>
      <c r="Q13" s="554"/>
      <c r="R13" s="555"/>
      <c r="S13" s="555"/>
      <c r="T13" s="555"/>
      <c r="U13" s="554"/>
      <c r="V13" s="554"/>
      <c r="W13" s="554"/>
      <c r="X13" s="554"/>
      <c r="Y13" s="554"/>
      <c r="Z13" s="554"/>
      <c r="AA13" s="556"/>
      <c r="AB13" s="556"/>
      <c r="AC13" s="150"/>
    </row>
    <row r="14" spans="1:37" s="479" customFormat="1" ht="13.8" x14ac:dyDescent="0.3">
      <c r="A14" s="144"/>
      <c r="C14" s="528" t="s">
        <v>354</v>
      </c>
      <c r="D14" s="502"/>
      <c r="E14" s="124"/>
      <c r="F14" s="124"/>
      <c r="G14" s="502"/>
      <c r="H14" s="547"/>
      <c r="M14" s="543"/>
      <c r="N14" s="529" t="s">
        <v>244</v>
      </c>
      <c r="O14" s="529"/>
      <c r="P14" s="528"/>
      <c r="Q14" s="529"/>
      <c r="R14" s="529"/>
      <c r="S14" s="529"/>
      <c r="T14" s="529"/>
      <c r="U14" s="529"/>
      <c r="V14" s="529"/>
      <c r="W14" s="529"/>
      <c r="X14" s="529"/>
      <c r="Y14" s="529"/>
      <c r="Z14" s="529"/>
      <c r="AA14" s="529"/>
      <c r="AB14" s="529"/>
      <c r="AC14" s="528"/>
    </row>
    <row r="15" spans="1:37" s="479" customFormat="1" ht="6" customHeight="1" x14ac:dyDescent="0.3">
      <c r="A15" s="144"/>
      <c r="C15" s="528"/>
      <c r="D15" s="502"/>
      <c r="E15" s="124"/>
      <c r="F15" s="124"/>
      <c r="G15" s="502"/>
      <c r="H15" s="547"/>
      <c r="M15" s="543"/>
      <c r="N15" s="529"/>
      <c r="O15" s="529"/>
      <c r="P15" s="528"/>
      <c r="Q15" s="529"/>
      <c r="R15" s="529"/>
      <c r="S15" s="529"/>
      <c r="T15" s="529"/>
      <c r="U15" s="529"/>
      <c r="V15" s="529"/>
      <c r="W15" s="529"/>
      <c r="X15" s="529"/>
      <c r="Y15" s="529"/>
      <c r="Z15" s="529"/>
      <c r="AA15" s="529"/>
      <c r="AB15" s="529"/>
      <c r="AC15" s="528"/>
    </row>
    <row r="16" spans="1:37" s="144" customFormat="1" ht="13.8" x14ac:dyDescent="0.3">
      <c r="C16" s="534" t="s">
        <v>330</v>
      </c>
      <c r="D16" s="968" t="s">
        <v>251</v>
      </c>
      <c r="E16" s="969"/>
      <c r="F16" s="124"/>
      <c r="G16" s="533"/>
      <c r="H16" s="530" t="s">
        <v>302</v>
      </c>
      <c r="I16" s="37" t="s">
        <v>300</v>
      </c>
      <c r="J16" s="186"/>
      <c r="K16" s="186"/>
      <c r="L16" s="186"/>
      <c r="M16" s="145"/>
      <c r="N16" s="531" t="s">
        <v>329</v>
      </c>
      <c r="O16" s="531"/>
      <c r="P16" s="150"/>
      <c r="Q16" s="150"/>
      <c r="R16" s="531"/>
      <c r="S16" s="532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</row>
    <row r="17" spans="1:30" s="144" customFormat="1" ht="13.8" x14ac:dyDescent="0.3">
      <c r="C17" s="534" t="s">
        <v>331</v>
      </c>
      <c r="D17" s="966" t="s">
        <v>255</v>
      </c>
      <c r="E17" s="967"/>
      <c r="F17" s="124" t="s">
        <v>235</v>
      </c>
      <c r="G17" s="37" t="s">
        <v>254</v>
      </c>
      <c r="H17" s="530" t="s">
        <v>302</v>
      </c>
      <c r="I17" s="37" t="s">
        <v>300</v>
      </c>
      <c r="J17" s="186"/>
      <c r="K17" s="186"/>
      <c r="L17" s="186"/>
      <c r="M17" s="145"/>
      <c r="N17" s="528" t="s">
        <v>336</v>
      </c>
      <c r="O17" s="528"/>
      <c r="P17" s="150"/>
      <c r="Q17" s="150"/>
      <c r="R17" s="150"/>
      <c r="S17" s="150"/>
      <c r="T17" s="528"/>
      <c r="U17" s="150"/>
      <c r="V17" s="150"/>
      <c r="W17" s="150"/>
      <c r="X17" s="150"/>
      <c r="Y17" s="150"/>
      <c r="Z17" s="150"/>
      <c r="AA17" s="150"/>
      <c r="AB17" s="150"/>
      <c r="AC17" s="150"/>
    </row>
    <row r="18" spans="1:30" s="144" customFormat="1" ht="13.8" x14ac:dyDescent="0.3">
      <c r="C18" s="534" t="s">
        <v>332</v>
      </c>
      <c r="D18" s="968" t="s">
        <v>256</v>
      </c>
      <c r="E18" s="969"/>
      <c r="F18" s="124" t="s">
        <v>235</v>
      </c>
      <c r="G18" s="47" t="s">
        <v>253</v>
      </c>
      <c r="H18" s="530" t="s">
        <v>302</v>
      </c>
      <c r="I18" s="37" t="s">
        <v>301</v>
      </c>
      <c r="M18" s="145"/>
      <c r="N18" s="529" t="s">
        <v>337</v>
      </c>
      <c r="O18" s="529"/>
      <c r="P18" s="150"/>
      <c r="Q18" s="529"/>
      <c r="R18" s="529"/>
      <c r="S18" s="529"/>
      <c r="T18" s="529"/>
      <c r="U18" s="529"/>
      <c r="V18" s="529"/>
      <c r="W18" s="529"/>
      <c r="X18" s="529"/>
      <c r="Y18" s="529"/>
      <c r="Z18" s="529"/>
      <c r="AA18" s="529"/>
      <c r="AB18" s="529"/>
      <c r="AC18" s="529"/>
    </row>
    <row r="19" spans="1:30" s="144" customFormat="1" ht="13.8" x14ac:dyDescent="0.3">
      <c r="H19" s="112"/>
      <c r="M19" s="145"/>
      <c r="P19" s="502"/>
      <c r="Q19" s="502"/>
      <c r="R19" s="502"/>
      <c r="S19" s="502"/>
      <c r="T19" s="502"/>
      <c r="U19" s="502"/>
      <c r="V19" s="502"/>
      <c r="W19" s="502"/>
      <c r="X19" s="502"/>
      <c r="Y19" s="502"/>
      <c r="Z19" s="502"/>
      <c r="AA19" s="502"/>
      <c r="AB19" s="502"/>
      <c r="AC19" s="502"/>
    </row>
    <row r="20" spans="1:30" s="144" customFormat="1" ht="15.6" customHeight="1" x14ac:dyDescent="0.3">
      <c r="C20" s="503" t="s">
        <v>284</v>
      </c>
      <c r="H20" s="112"/>
      <c r="P20" s="504" t="s">
        <v>252</v>
      </c>
      <c r="Q20" s="505"/>
      <c r="R20" s="965" t="s">
        <v>208</v>
      </c>
      <c r="S20" s="965"/>
      <c r="T20" s="965"/>
      <c r="U20" s="505"/>
      <c r="V20" s="965" t="s">
        <v>257</v>
      </c>
      <c r="W20" s="965"/>
      <c r="X20" s="965"/>
      <c r="Y20" s="965"/>
      <c r="Z20" s="505"/>
      <c r="AA20" s="506" t="s">
        <v>283</v>
      </c>
    </row>
    <row r="21" spans="1:30" s="144" customFormat="1" ht="15.6" customHeight="1" x14ac:dyDescent="0.3">
      <c r="C21" s="92" t="s">
        <v>338</v>
      </c>
      <c r="H21" s="112"/>
      <c r="J21" s="200" t="s">
        <v>11</v>
      </c>
      <c r="K21" s="200"/>
      <c r="L21" s="200"/>
      <c r="P21" s="861">
        <f>PRICE($L$22,$L$23,$L$24,$L$26,$L$27,$L$28)*10</f>
        <v>1199.9999262969509</v>
      </c>
      <c r="Q21" s="502"/>
      <c r="R21" s="862">
        <f t="shared" ref="R21:R29" si="0">1000*$L$24</f>
        <v>70</v>
      </c>
      <c r="S21" s="863">
        <f>P21</f>
        <v>1199.9999262969509</v>
      </c>
      <c r="T21" s="864">
        <f>R21/S21</f>
        <v>5.8333336916120665E-2</v>
      </c>
      <c r="U21" s="502"/>
      <c r="V21" s="865"/>
      <c r="W21" s="866"/>
      <c r="X21" s="863"/>
      <c r="Y21" s="864" t="s">
        <v>282</v>
      </c>
      <c r="Z21" s="502"/>
      <c r="AA21" s="867">
        <f t="shared" ref="AA21:AA29" si="1">YIELD($L$22+($P$21-P21)/25*365.25,$L$23,$L$24,P21/10,$L$27,$L$28)</f>
        <v>4.4754718328592319E-2</v>
      </c>
    </row>
    <row r="22" spans="1:30" s="144" customFormat="1" x14ac:dyDescent="0.3">
      <c r="A22" s="84"/>
      <c r="C22" s="507" t="s">
        <v>101</v>
      </c>
      <c r="D22" s="622" t="s">
        <v>303</v>
      </c>
      <c r="E22" s="622"/>
      <c r="F22" s="622"/>
      <c r="G22" s="622"/>
      <c r="H22" s="622"/>
      <c r="I22" s="623"/>
      <c r="J22" s="102" t="s">
        <v>272</v>
      </c>
      <c r="K22" s="144" t="s">
        <v>236</v>
      </c>
      <c r="L22" s="868">
        <v>46023</v>
      </c>
      <c r="P22" s="869">
        <f t="shared" ref="P22:P29" si="2">+P21-25</f>
        <v>1174.9999262969509</v>
      </c>
      <c r="Q22" s="502"/>
      <c r="R22" s="870">
        <f t="shared" si="0"/>
        <v>70</v>
      </c>
      <c r="S22" s="871">
        <f t="shared" ref="S22:S29" si="3">P22</f>
        <v>1174.9999262969509</v>
      </c>
      <c r="T22" s="872">
        <f t="shared" ref="T22:T29" si="4">R22/S22</f>
        <v>5.9574471821974659E-2</v>
      </c>
      <c r="U22" s="502"/>
      <c r="V22" s="873">
        <f t="shared" ref="V22:V29" si="5">1000*$L$24</f>
        <v>70</v>
      </c>
      <c r="W22" s="874">
        <f>P22-P21</f>
        <v>-25</v>
      </c>
      <c r="X22" s="875">
        <f>P21</f>
        <v>1199.9999262969509</v>
      </c>
      <c r="Y22" s="872">
        <f>(V22+W22)/X22</f>
        <v>3.7500002303220425E-2</v>
      </c>
      <c r="Z22" s="502"/>
      <c r="AA22" s="876">
        <f t="shared" si="1"/>
        <v>4.5833951861643331E-2</v>
      </c>
    </row>
    <row r="23" spans="1:30" s="144" customFormat="1" x14ac:dyDescent="0.3">
      <c r="A23" s="84"/>
      <c r="C23" s="508" t="s">
        <v>69</v>
      </c>
      <c r="D23" s="166" t="str">
        <f>"= PRICE ("&amp;TEXT(L22,"m/d/yy")&amp;", "&amp;TEXT( L23,"m/d/yy")&amp;", "&amp;TEXT(L24,"0.0%")&amp;", "&amp;TEXT(L26,"0.0%")&amp;", "&amp;TEXT(L27,0)&amp;", "&amp;TEXT(L28,0)&amp;")"</f>
        <v>= PRICE (1/1/26, 1/1/36, 7.0%, 4.5%, 100, 1)</v>
      </c>
      <c r="E23" s="166"/>
      <c r="F23" s="166"/>
      <c r="G23" s="166"/>
      <c r="H23" s="166"/>
      <c r="I23" s="509"/>
      <c r="J23" s="102" t="s">
        <v>273</v>
      </c>
      <c r="K23" s="144" t="s">
        <v>237</v>
      </c>
      <c r="L23" s="877">
        <v>49675</v>
      </c>
      <c r="P23" s="878">
        <f t="shared" si="2"/>
        <v>1149.9999262969509</v>
      </c>
      <c r="Q23" s="124"/>
      <c r="R23" s="870">
        <f t="shared" si="0"/>
        <v>70</v>
      </c>
      <c r="S23" s="871">
        <f t="shared" si="3"/>
        <v>1149.9999262969509</v>
      </c>
      <c r="T23" s="872">
        <f t="shared" si="4"/>
        <v>6.0869569118498126E-2</v>
      </c>
      <c r="U23" s="124"/>
      <c r="V23" s="873">
        <f t="shared" si="5"/>
        <v>70</v>
      </c>
      <c r="W23" s="874">
        <f t="shared" ref="W23:W29" si="6">P23-P22</f>
        <v>-25</v>
      </c>
      <c r="X23" s="875">
        <f t="shared" ref="X23:X29" si="7">P22</f>
        <v>1174.9999262969509</v>
      </c>
      <c r="Y23" s="872">
        <f t="shared" ref="Y23:Y29" si="8">(V23+W23)/X23</f>
        <v>3.8297874742697996E-2</v>
      </c>
      <c r="Z23" s="124"/>
      <c r="AA23" s="876">
        <f t="shared" si="1"/>
        <v>4.7066201887737656E-2</v>
      </c>
    </row>
    <row r="24" spans="1:30" s="144" customFormat="1" x14ac:dyDescent="0.3">
      <c r="A24" s="84"/>
      <c r="C24" s="508" t="s">
        <v>299</v>
      </c>
      <c r="D24" s="879">
        <f>PRICE(L22,L23,L24,L26,L27,L28)*10</f>
        <v>1199.9999262969509</v>
      </c>
      <c r="E24" s="624" t="s">
        <v>270</v>
      </c>
      <c r="G24" s="276"/>
      <c r="H24" s="112"/>
      <c r="J24" s="102" t="s">
        <v>6</v>
      </c>
      <c r="K24" s="144" t="s">
        <v>240</v>
      </c>
      <c r="L24" s="880">
        <v>7.0000000000000007E-2</v>
      </c>
      <c r="P24" s="869">
        <f t="shared" si="2"/>
        <v>1124.9999262969509</v>
      </c>
      <c r="Q24" s="124"/>
      <c r="R24" s="870">
        <f t="shared" si="0"/>
        <v>70</v>
      </c>
      <c r="S24" s="871">
        <f t="shared" si="3"/>
        <v>1124.9999262969509</v>
      </c>
      <c r="T24" s="872">
        <f t="shared" si="4"/>
        <v>6.2222226298638043E-2</v>
      </c>
      <c r="U24" s="124"/>
      <c r="V24" s="873">
        <f t="shared" si="5"/>
        <v>70</v>
      </c>
      <c r="W24" s="874">
        <f t="shared" si="6"/>
        <v>-25</v>
      </c>
      <c r="X24" s="875">
        <f t="shared" si="7"/>
        <v>1149.9999262969509</v>
      </c>
      <c r="Y24" s="872">
        <f t="shared" si="8"/>
        <v>3.9130437290463081E-2</v>
      </c>
      <c r="Z24" s="124"/>
      <c r="AA24" s="876">
        <f t="shared" si="1"/>
        <v>4.8513745977354542E-2</v>
      </c>
    </row>
    <row r="25" spans="1:30" s="144" customFormat="1" x14ac:dyDescent="0.3">
      <c r="A25" s="84"/>
      <c r="H25" s="112"/>
      <c r="J25" s="510" t="s">
        <v>343</v>
      </c>
      <c r="K25" s="144" t="s">
        <v>345</v>
      </c>
      <c r="L25" s="881">
        <v>1200</v>
      </c>
      <c r="O25" s="511" t="s">
        <v>334</v>
      </c>
      <c r="P25" s="878">
        <f t="shared" si="2"/>
        <v>1099.9999262969509</v>
      </c>
      <c r="Q25" s="124"/>
      <c r="R25" s="870">
        <f t="shared" si="0"/>
        <v>70</v>
      </c>
      <c r="S25" s="871">
        <f t="shared" si="3"/>
        <v>1099.9999262969509</v>
      </c>
      <c r="T25" s="872">
        <f t="shared" si="4"/>
        <v>6.3636367900176682E-2</v>
      </c>
      <c r="U25" s="124"/>
      <c r="V25" s="873">
        <f t="shared" si="5"/>
        <v>70</v>
      </c>
      <c r="W25" s="874">
        <f t="shared" si="6"/>
        <v>-25</v>
      </c>
      <c r="X25" s="875">
        <f t="shared" si="7"/>
        <v>1124.9999262969509</v>
      </c>
      <c r="Y25" s="872">
        <f t="shared" si="8"/>
        <v>4.0000002620553032E-2</v>
      </c>
      <c r="Z25" s="124"/>
      <c r="AA25" s="876">
        <f t="shared" si="1"/>
        <v>5.0280585550575504E-2</v>
      </c>
    </row>
    <row r="26" spans="1:30" s="144" customFormat="1" x14ac:dyDescent="0.3">
      <c r="A26" s="84"/>
      <c r="B26" s="84"/>
      <c r="C26" s="92" t="s">
        <v>339</v>
      </c>
      <c r="D26" s="200"/>
      <c r="E26" s="200"/>
      <c r="F26" s="200"/>
      <c r="G26" s="200"/>
      <c r="H26" s="104"/>
      <c r="I26" s="200"/>
      <c r="J26" s="512" t="s">
        <v>344</v>
      </c>
      <c r="K26" s="144" t="s">
        <v>346</v>
      </c>
      <c r="L26" s="882">
        <v>4.4754718335139727E-2</v>
      </c>
      <c r="O26" s="511" t="s">
        <v>335</v>
      </c>
      <c r="P26" s="878">
        <f t="shared" si="2"/>
        <v>1074.9999262969509</v>
      </c>
      <c r="Q26" s="124"/>
      <c r="R26" s="870">
        <f t="shared" si="0"/>
        <v>70</v>
      </c>
      <c r="S26" s="871">
        <f t="shared" si="3"/>
        <v>1074.9999262969509</v>
      </c>
      <c r="T26" s="872">
        <f t="shared" si="4"/>
        <v>6.5116283534203387E-2</v>
      </c>
      <c r="U26" s="124"/>
      <c r="V26" s="873">
        <f t="shared" si="5"/>
        <v>70</v>
      </c>
      <c r="W26" s="874">
        <f t="shared" si="6"/>
        <v>-25</v>
      </c>
      <c r="X26" s="875">
        <f t="shared" si="7"/>
        <v>1099.9999262969509</v>
      </c>
      <c r="Y26" s="872">
        <f t="shared" si="8"/>
        <v>4.0909093650113582E-2</v>
      </c>
      <c r="Z26" s="124"/>
      <c r="AA26" s="876">
        <f t="shared" si="1"/>
        <v>5.255440549596159E-2</v>
      </c>
    </row>
    <row r="27" spans="1:30" x14ac:dyDescent="0.3">
      <c r="C27" s="507" t="s">
        <v>101</v>
      </c>
      <c r="D27" s="513" t="s">
        <v>304</v>
      </c>
      <c r="E27" s="513"/>
      <c r="F27" s="513"/>
      <c r="G27" s="513"/>
      <c r="H27" s="513"/>
      <c r="I27" s="513"/>
      <c r="J27" s="119" t="s">
        <v>274</v>
      </c>
      <c r="K27" s="144" t="s">
        <v>238</v>
      </c>
      <c r="L27" s="881">
        <v>100</v>
      </c>
      <c r="P27" s="869">
        <f t="shared" si="2"/>
        <v>1049.9999262969509</v>
      </c>
      <c r="Q27" s="124"/>
      <c r="R27" s="870">
        <f t="shared" si="0"/>
        <v>70</v>
      </c>
      <c r="S27" s="871">
        <f t="shared" si="3"/>
        <v>1049.9999262969509</v>
      </c>
      <c r="T27" s="872">
        <f t="shared" si="4"/>
        <v>6.666667134622567E-2</v>
      </c>
      <c r="U27" s="124"/>
      <c r="V27" s="873">
        <f t="shared" si="5"/>
        <v>70</v>
      </c>
      <c r="W27" s="874">
        <f t="shared" si="6"/>
        <v>-25</v>
      </c>
      <c r="X27" s="875">
        <f t="shared" si="7"/>
        <v>1074.9999262969509</v>
      </c>
      <c r="Y27" s="872">
        <f t="shared" si="8"/>
        <v>4.186046798627361E-2</v>
      </c>
      <c r="Z27" s="124"/>
      <c r="AA27" s="876">
        <f t="shared" si="1"/>
        <v>5.5711870074483916E-2</v>
      </c>
    </row>
    <row r="28" spans="1:30" x14ac:dyDescent="0.3">
      <c r="C28" s="508" t="s">
        <v>69</v>
      </c>
      <c r="D28" s="119" t="str">
        <f>"= YIELD ("&amp;TEXT(L22,"m/d/yy")&amp;", "&amp;TEXT( L23,"m/d/yy")&amp;", "&amp;TEXT(L24,"0.0%")&amp;", "&amp;TEXT(D24,"0")&amp;"/10, "&amp;TEXT(L27,0)&amp;", "&amp;TEXT(L28,0)&amp;")"</f>
        <v>= YIELD (1/1/26, 1/1/36, 7.0%, 1200/10, 100, 1)</v>
      </c>
      <c r="E28" s="119"/>
      <c r="F28" s="119"/>
      <c r="G28" s="119"/>
      <c r="H28" s="119"/>
      <c r="I28" s="515"/>
      <c r="J28" s="102" t="s">
        <v>275</v>
      </c>
      <c r="K28" s="144" t="s">
        <v>239</v>
      </c>
      <c r="L28" s="883">
        <v>1</v>
      </c>
      <c r="P28" s="869">
        <f t="shared" si="2"/>
        <v>1024.9999262969509</v>
      </c>
      <c r="Q28" s="124"/>
      <c r="R28" s="870">
        <f t="shared" si="0"/>
        <v>70</v>
      </c>
      <c r="S28" s="871">
        <f t="shared" si="3"/>
        <v>1024.9999262969509</v>
      </c>
      <c r="T28" s="872">
        <f t="shared" si="4"/>
        <v>6.8292687837443244E-2</v>
      </c>
      <c r="U28" s="124"/>
      <c r="V28" s="873">
        <f t="shared" si="5"/>
        <v>70</v>
      </c>
      <c r="W28" s="874">
        <f t="shared" si="6"/>
        <v>-25</v>
      </c>
      <c r="X28" s="875">
        <f t="shared" si="7"/>
        <v>1049.9999262969509</v>
      </c>
      <c r="Y28" s="872">
        <f t="shared" si="8"/>
        <v>4.2857145865430789E-2</v>
      </c>
      <c r="Z28" s="124"/>
      <c r="AA28" s="876">
        <f t="shared" si="1"/>
        <v>6.0636270129327437E-2</v>
      </c>
    </row>
    <row r="29" spans="1:30" x14ac:dyDescent="0.3">
      <c r="C29" s="508" t="s">
        <v>299</v>
      </c>
      <c r="D29" s="884">
        <f>YIELD(L22,L23,L24,L25/10,L27,L28)</f>
        <v>4.4754710053138337E-2</v>
      </c>
      <c r="E29" s="516" t="s">
        <v>271</v>
      </c>
      <c r="F29" s="144"/>
      <c r="G29" s="144"/>
      <c r="H29" s="104"/>
      <c r="I29" s="200"/>
      <c r="J29" s="514"/>
      <c r="K29" s="514"/>
      <c r="L29" s="514"/>
      <c r="N29" s="144"/>
      <c r="O29" s="144"/>
      <c r="P29" s="885">
        <f t="shared" si="2"/>
        <v>999.99992629695089</v>
      </c>
      <c r="Q29" s="124"/>
      <c r="R29" s="886">
        <f t="shared" si="0"/>
        <v>70</v>
      </c>
      <c r="S29" s="887">
        <f t="shared" si="3"/>
        <v>999.99992629695089</v>
      </c>
      <c r="T29" s="888">
        <f t="shared" si="4"/>
        <v>7.0000005159213813E-2</v>
      </c>
      <c r="U29" s="124"/>
      <c r="V29" s="889">
        <f t="shared" si="5"/>
        <v>70</v>
      </c>
      <c r="W29" s="890">
        <f t="shared" si="6"/>
        <v>-25</v>
      </c>
      <c r="X29" s="891">
        <f t="shared" si="7"/>
        <v>1024.9999262969509</v>
      </c>
      <c r="Y29" s="888">
        <f t="shared" si="8"/>
        <v>4.3902442181213516E-2</v>
      </c>
      <c r="Z29" s="124"/>
      <c r="AA29" s="892">
        <f t="shared" si="1"/>
        <v>7.0000040764553559E-2</v>
      </c>
    </row>
    <row r="30" spans="1:30" x14ac:dyDescent="0.3">
      <c r="C30" s="517"/>
      <c r="P30" s="514"/>
      <c r="Q30" s="514"/>
      <c r="R30" s="514"/>
      <c r="S30" s="514"/>
      <c r="T30" s="514"/>
      <c r="U30" s="514"/>
      <c r="V30" s="514"/>
      <c r="W30" s="514"/>
      <c r="X30" s="514"/>
      <c r="Z30" s="514"/>
    </row>
    <row r="31" spans="1:30" x14ac:dyDescent="0.3">
      <c r="J31" s="514"/>
      <c r="K31" s="514"/>
      <c r="L31" s="514"/>
      <c r="Q31" s="514"/>
      <c r="R31" s="514"/>
      <c r="S31" s="514"/>
      <c r="T31" s="514"/>
      <c r="U31" s="514"/>
      <c r="V31" s="514"/>
      <c r="W31" s="514"/>
      <c r="X31" s="514"/>
      <c r="Z31" s="514"/>
    </row>
    <row r="32" spans="1:30" x14ac:dyDescent="0.3">
      <c r="P32" s="514"/>
      <c r="Q32" s="514"/>
      <c r="R32" s="514"/>
      <c r="S32" s="514"/>
      <c r="T32" s="514"/>
      <c r="U32" s="514"/>
      <c r="V32" s="514"/>
      <c r="W32" s="514"/>
      <c r="X32" s="514"/>
      <c r="Z32" s="514"/>
      <c r="AB32" s="144"/>
      <c r="AC32" s="144"/>
      <c r="AD32" s="144"/>
    </row>
    <row r="33" spans="16:30" x14ac:dyDescent="0.3">
      <c r="P33" s="522"/>
      <c r="Q33" s="514"/>
      <c r="R33" s="514"/>
      <c r="S33" s="514"/>
      <c r="T33" s="514"/>
      <c r="U33" s="514"/>
      <c r="V33" s="514"/>
      <c r="W33" s="514"/>
      <c r="X33" s="514"/>
      <c r="Z33" s="514"/>
      <c r="AB33" s="144"/>
      <c r="AC33" s="144"/>
      <c r="AD33" s="144"/>
    </row>
    <row r="34" spans="16:30" x14ac:dyDescent="0.3">
      <c r="P34" s="514"/>
      <c r="Q34" s="514"/>
      <c r="R34" s="514"/>
      <c r="S34" s="514"/>
      <c r="T34" s="514"/>
      <c r="U34" s="514"/>
      <c r="V34" s="514"/>
      <c r="W34" s="514"/>
      <c r="X34" s="514"/>
      <c r="Z34" s="514"/>
      <c r="AB34" s="144"/>
      <c r="AC34" s="144"/>
      <c r="AD34" s="144"/>
    </row>
    <row r="35" spans="16:30" x14ac:dyDescent="0.3">
      <c r="P35" s="514"/>
      <c r="Q35" s="514"/>
      <c r="R35" s="514"/>
      <c r="S35" s="514"/>
      <c r="T35" s="514"/>
      <c r="U35" s="514"/>
      <c r="V35" s="514"/>
      <c r="W35" s="514"/>
      <c r="X35" s="514"/>
      <c r="Z35" s="514"/>
      <c r="AB35" s="144"/>
      <c r="AC35" s="144"/>
      <c r="AD35" s="144"/>
    </row>
    <row r="36" spans="16:30" x14ac:dyDescent="0.3">
      <c r="P36" s="514"/>
      <c r="Q36" s="514"/>
      <c r="R36" s="514"/>
      <c r="S36" s="514"/>
      <c r="T36" s="514"/>
      <c r="U36" s="514"/>
      <c r="V36" s="514"/>
      <c r="W36" s="514"/>
      <c r="X36" s="514"/>
      <c r="Z36" s="514"/>
      <c r="AB36" s="523"/>
      <c r="AC36" s="144"/>
      <c r="AD36" s="144"/>
    </row>
    <row r="37" spans="16:30" x14ac:dyDescent="0.3">
      <c r="P37" s="514"/>
      <c r="Q37" s="514"/>
      <c r="R37" s="514"/>
      <c r="S37" s="514"/>
      <c r="T37" s="514"/>
      <c r="U37" s="514"/>
      <c r="V37" s="514"/>
      <c r="W37" s="514"/>
      <c r="X37" s="514"/>
      <c r="Z37" s="514"/>
      <c r="AB37" s="144"/>
      <c r="AC37" s="144"/>
      <c r="AD37" s="144"/>
    </row>
    <row r="38" spans="16:30" x14ac:dyDescent="0.3">
      <c r="P38" s="514"/>
      <c r="Q38" s="514"/>
      <c r="R38" s="514"/>
      <c r="S38" s="514"/>
      <c r="T38" s="514"/>
      <c r="U38" s="514"/>
      <c r="V38" s="514"/>
      <c r="W38" s="514"/>
      <c r="X38" s="514"/>
      <c r="Z38" s="514"/>
      <c r="AB38" s="144"/>
      <c r="AC38" s="144"/>
      <c r="AD38" s="144"/>
    </row>
    <row r="39" spans="16:30" x14ac:dyDescent="0.3">
      <c r="P39" s="514"/>
      <c r="Q39" s="514"/>
      <c r="R39" s="514"/>
      <c r="S39" s="514"/>
      <c r="T39" s="514"/>
      <c r="U39" s="514"/>
      <c r="V39" s="514"/>
      <c r="W39" s="514"/>
      <c r="X39" s="514"/>
      <c r="Z39" s="514"/>
      <c r="AB39" s="144"/>
      <c r="AC39" s="144"/>
      <c r="AD39" s="144"/>
    </row>
    <row r="40" spans="16:30" x14ac:dyDescent="0.3">
      <c r="P40" s="514"/>
      <c r="Q40" s="514"/>
      <c r="R40" s="514"/>
      <c r="S40" s="514"/>
      <c r="T40" s="514"/>
      <c r="U40" s="514"/>
      <c r="V40" s="514"/>
      <c r="W40" s="514"/>
      <c r="X40" s="514"/>
      <c r="Z40" s="514"/>
      <c r="AB40" s="144"/>
      <c r="AC40" s="144"/>
      <c r="AD40" s="144"/>
    </row>
    <row r="41" spans="16:30" x14ac:dyDescent="0.3">
      <c r="P41" s="514"/>
      <c r="Q41" s="514"/>
      <c r="R41" s="514"/>
      <c r="S41" s="514"/>
      <c r="T41" s="514"/>
      <c r="U41" s="514"/>
      <c r="V41" s="514"/>
      <c r="W41" s="514"/>
      <c r="X41" s="514"/>
      <c r="Z41" s="514"/>
      <c r="AB41" s="144"/>
      <c r="AC41" s="144"/>
      <c r="AD41" s="144"/>
    </row>
    <row r="42" spans="16:30" x14ac:dyDescent="0.3">
      <c r="P42" s="514"/>
      <c r="Q42" s="514"/>
      <c r="R42" s="514"/>
      <c r="S42" s="514"/>
      <c r="T42" s="514"/>
      <c r="U42" s="514"/>
      <c r="V42" s="514"/>
      <c r="W42" s="514"/>
      <c r="X42" s="514"/>
      <c r="Z42" s="514"/>
      <c r="AB42" s="144"/>
      <c r="AC42" s="144"/>
      <c r="AD42" s="144"/>
    </row>
    <row r="43" spans="16:30" x14ac:dyDescent="0.3">
      <c r="P43" s="514"/>
      <c r="Q43" s="514"/>
      <c r="R43" s="514"/>
      <c r="S43" s="514"/>
      <c r="T43" s="514"/>
      <c r="U43" s="514"/>
      <c r="V43" s="514"/>
      <c r="W43" s="514"/>
      <c r="X43" s="514"/>
      <c r="Z43" s="514"/>
    </row>
    <row r="44" spans="16:30" x14ac:dyDescent="0.3">
      <c r="P44" s="514"/>
      <c r="Q44" s="514"/>
      <c r="R44" s="514"/>
      <c r="S44" s="514"/>
      <c r="T44" s="514"/>
      <c r="U44" s="514"/>
      <c r="V44" s="514"/>
      <c r="W44" s="514"/>
      <c r="X44" s="514"/>
      <c r="Z44" s="514"/>
    </row>
    <row r="45" spans="16:30" x14ac:dyDescent="0.3">
      <c r="W45" s="527"/>
    </row>
    <row r="46" spans="16:30" x14ac:dyDescent="0.3">
      <c r="W46" s="527"/>
    </row>
    <row r="47" spans="16:30" x14ac:dyDescent="0.3">
      <c r="W47" s="527"/>
    </row>
    <row r="48" spans="16:30" x14ac:dyDescent="0.3">
      <c r="W48" s="527"/>
    </row>
    <row r="49" spans="23:23" x14ac:dyDescent="0.3">
      <c r="W49" s="527"/>
    </row>
  </sheetData>
  <sheetProtection algorithmName="SHA-512" hashValue="2DGMMOUaJtEf181cHXgpDkHR3k76EHeO9uc2NaYDblUQotDrMWHgjQtqc0YrmsAv+bk7CFbOp4Awt6r33KwQ+A==" saltValue="s2wpRYmXJPUqSLETLbBzmA==" spinCount="100000" sheet="1" objects="1" scenarios="1" selectLockedCells="1" selectUnlockedCells="1"/>
  <mergeCells count="9">
    <mergeCell ref="C11:K12"/>
    <mergeCell ref="C9:K10"/>
    <mergeCell ref="N10:AC11"/>
    <mergeCell ref="N8:AC9"/>
    <mergeCell ref="V20:Y20"/>
    <mergeCell ref="R20:T20"/>
    <mergeCell ref="D17:E17"/>
    <mergeCell ref="D18:E18"/>
    <mergeCell ref="D16:E16"/>
  </mergeCells>
  <conditionalFormatting sqref="P21:P29">
    <cfRule type="colorScale" priority="143">
      <colorScale>
        <cfvo type="min"/>
        <cfvo type="percentile" val="50"/>
        <cfvo type="max"/>
        <color theme="0"/>
        <color rgb="FFEFD8D7"/>
        <color theme="5" tint="0.39997558519241921"/>
      </colorScale>
    </cfRule>
  </conditionalFormatting>
  <conditionalFormatting sqref="T21:T29">
    <cfRule type="colorScale" priority="145">
      <colorScale>
        <cfvo type="min"/>
        <cfvo type="percentile" val="50"/>
        <cfvo type="max"/>
        <color theme="0"/>
        <color rgb="FFD2E0B6"/>
        <color theme="6"/>
      </colorScale>
    </cfRule>
  </conditionalFormatting>
  <conditionalFormatting sqref="Y21:Y29">
    <cfRule type="colorScale" priority="147">
      <colorScale>
        <cfvo type="min"/>
        <cfvo type="percentile" val="50"/>
        <cfvo type="max"/>
        <color theme="0"/>
        <color rgb="FFD2E0B6"/>
        <color theme="6"/>
      </colorScale>
    </cfRule>
  </conditionalFormatting>
  <conditionalFormatting sqref="AA21:AA29">
    <cfRule type="colorScale" priority="149">
      <colorScale>
        <cfvo type="min"/>
        <cfvo type="percentile" val="50"/>
        <cfvo type="max"/>
        <color theme="0"/>
        <color rgb="FFD2E0B6"/>
        <color theme="6"/>
      </colorScale>
    </cfRule>
  </conditionalFormatting>
  <printOptions horizontalCentered="1"/>
  <pageMargins left="0.5" right="0.5" top="0.75" bottom="0.5" header="0.3" footer="0.3"/>
  <pageSetup fitToWidth="2" orientation="landscape" r:id="rId1"/>
  <headerFooter scaleWithDoc="0" alignWithMargins="0">
    <oddFooter>&amp;LBonds&amp;RPage &amp;P of &amp;N</oddFooter>
  </headerFooter>
  <colBreaks count="1" manualBreakCount="1">
    <brk id="12" min="1" max="26" man="1"/>
  </col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430E8-229C-47B1-9DA0-3B348D4CB306}">
  <sheetPr>
    <tabColor rgb="FF0080EA"/>
    <pageSetUpPr fitToPage="1"/>
  </sheetPr>
  <dimension ref="A1:W93"/>
  <sheetViews>
    <sheetView showGridLines="0" showRowColHeaders="0" tabSelected="1" zoomScaleNormal="100" zoomScaleSheetLayoutView="85" workbookViewId="0"/>
  </sheetViews>
  <sheetFormatPr defaultColWidth="9.109375" defaultRowHeight="14.4" x14ac:dyDescent="0.3"/>
  <cols>
    <col min="1" max="1" width="3.109375" style="240" customWidth="1"/>
    <col min="2" max="2" width="12.44140625" style="240" customWidth="1"/>
    <col min="3" max="3" width="87.33203125" style="240" customWidth="1"/>
    <col min="4" max="4" width="9.109375" style="240"/>
    <col min="5" max="5" width="54.77734375" style="635" customWidth="1"/>
    <col min="6" max="7" width="9.109375" style="240"/>
    <col min="8" max="8" width="3.21875" style="240" bestFit="1" customWidth="1"/>
    <col min="9" max="16384" width="9.109375" style="240"/>
  </cols>
  <sheetData>
    <row r="1" spans="1:23" s="70" customFormat="1" ht="8.4" customHeight="1" x14ac:dyDescent="0.2">
      <c r="A1" s="69" t="s">
        <v>60</v>
      </c>
      <c r="E1" s="71"/>
      <c r="H1" s="170"/>
      <c r="W1" s="72"/>
    </row>
    <row r="2" spans="1:23" ht="59.4" customHeight="1" x14ac:dyDescent="0.4">
      <c r="A2" s="535"/>
      <c r="E2" s="625"/>
    </row>
    <row r="3" spans="1:23" ht="20.399999999999999" customHeight="1" x14ac:dyDescent="0.35">
      <c r="E3" s="626" t="s">
        <v>364</v>
      </c>
    </row>
    <row r="4" spans="1:23" s="557" customFormat="1" x14ac:dyDescent="0.3">
      <c r="E4" s="627" t="s">
        <v>355</v>
      </c>
    </row>
    <row r="5" spans="1:23" s="557" customFormat="1" x14ac:dyDescent="0.3">
      <c r="E5" s="627" t="s">
        <v>356</v>
      </c>
    </row>
    <row r="6" spans="1:23" s="557" customFormat="1" x14ac:dyDescent="0.3">
      <c r="E6" s="628" t="s">
        <v>357</v>
      </c>
    </row>
    <row r="7" spans="1:23" s="557" customFormat="1" x14ac:dyDescent="0.3">
      <c r="E7" s="628" t="s">
        <v>358</v>
      </c>
    </row>
    <row r="8" spans="1:23" s="557" customFormat="1" x14ac:dyDescent="0.3">
      <c r="E8" s="629" t="s">
        <v>359</v>
      </c>
    </row>
    <row r="9" spans="1:23" s="557" customFormat="1" ht="21.6" customHeight="1" x14ac:dyDescent="0.35">
      <c r="E9" s="630" t="s">
        <v>362</v>
      </c>
    </row>
    <row r="10" spans="1:23" s="557" customFormat="1" x14ac:dyDescent="0.3">
      <c r="E10" s="631" t="s">
        <v>360</v>
      </c>
    </row>
    <row r="11" spans="1:23" s="557" customFormat="1" x14ac:dyDescent="0.3">
      <c r="E11" s="631" t="s">
        <v>361</v>
      </c>
    </row>
    <row r="12" spans="1:23" s="557" customFormat="1" ht="21.6" customHeight="1" x14ac:dyDescent="0.35">
      <c r="E12" s="630" t="s">
        <v>363</v>
      </c>
    </row>
    <row r="13" spans="1:23" s="557" customFormat="1" x14ac:dyDescent="0.3">
      <c r="E13" s="893" t="s">
        <v>380</v>
      </c>
    </row>
    <row r="14" spans="1:23" ht="27.6" customHeight="1" x14ac:dyDescent="0.4">
      <c r="E14" s="632" t="s">
        <v>365</v>
      </c>
    </row>
    <row r="15" spans="1:23" s="557" customFormat="1" ht="11.4" customHeight="1" x14ac:dyDescent="0.3">
      <c r="E15" s="59" t="s">
        <v>59</v>
      </c>
    </row>
    <row r="16" spans="1:23" ht="14.4" customHeight="1" x14ac:dyDescent="0.3">
      <c r="E16" s="633" t="s">
        <v>341</v>
      </c>
    </row>
    <row r="17" spans="4:5" ht="11.4" customHeight="1" x14ac:dyDescent="0.3">
      <c r="D17" s="558"/>
      <c r="E17" s="634" t="s">
        <v>342</v>
      </c>
    </row>
    <row r="18" spans="4:5" s="557" customFormat="1" ht="6" customHeight="1" x14ac:dyDescent="0.25">
      <c r="E18" s="60"/>
    </row>
    <row r="19" spans="4:5" s="557" customFormat="1" x14ac:dyDescent="0.25">
      <c r="E19" s="559"/>
    </row>
    <row r="20" spans="4:5" s="557" customFormat="1" x14ac:dyDescent="0.25">
      <c r="E20" s="559"/>
    </row>
    <row r="21" spans="4:5" s="557" customFormat="1" x14ac:dyDescent="0.25">
      <c r="E21" s="559"/>
    </row>
    <row r="22" spans="4:5" s="557" customFormat="1" x14ac:dyDescent="0.25">
      <c r="E22" s="559"/>
    </row>
    <row r="23" spans="4:5" s="557" customFormat="1" x14ac:dyDescent="0.25">
      <c r="E23" s="559"/>
    </row>
    <row r="24" spans="4:5" s="557" customFormat="1" x14ac:dyDescent="0.25">
      <c r="E24" s="559"/>
    </row>
    <row r="25" spans="4:5" s="557" customFormat="1" x14ac:dyDescent="0.25">
      <c r="E25" s="559"/>
    </row>
    <row r="26" spans="4:5" s="557" customFormat="1" x14ac:dyDescent="0.25">
      <c r="E26" s="559"/>
    </row>
    <row r="27" spans="4:5" s="557" customFormat="1" x14ac:dyDescent="0.25">
      <c r="E27" s="559"/>
    </row>
    <row r="28" spans="4:5" s="557" customFormat="1" x14ac:dyDescent="0.3">
      <c r="E28" s="635"/>
    </row>
    <row r="29" spans="4:5" s="557" customFormat="1" x14ac:dyDescent="0.3">
      <c r="E29" s="635"/>
    </row>
    <row r="30" spans="4:5" s="557" customFormat="1" x14ac:dyDescent="0.3">
      <c r="E30" s="635"/>
    </row>
    <row r="31" spans="4:5" s="557" customFormat="1" x14ac:dyDescent="0.3">
      <c r="E31" s="635"/>
    </row>
    <row r="32" spans="4:5" s="557" customFormat="1" x14ac:dyDescent="0.3">
      <c r="E32" s="635"/>
    </row>
    <row r="33" spans="5:5" s="557" customFormat="1" x14ac:dyDescent="0.3">
      <c r="E33" s="635"/>
    </row>
    <row r="34" spans="5:5" s="557" customFormat="1" ht="16.2" customHeight="1" x14ac:dyDescent="0.3">
      <c r="E34" s="635"/>
    </row>
    <row r="35" spans="5:5" s="560" customFormat="1" ht="4.8" customHeight="1" x14ac:dyDescent="0.3">
      <c r="E35" s="635"/>
    </row>
    <row r="36" spans="5:5" s="560" customFormat="1" ht="13.8" x14ac:dyDescent="0.3">
      <c r="E36" s="635"/>
    </row>
    <row r="37" spans="5:5" s="560" customFormat="1" ht="13.8" x14ac:dyDescent="0.3">
      <c r="E37" s="635"/>
    </row>
    <row r="38" spans="5:5" s="560" customFormat="1" ht="13.8" x14ac:dyDescent="0.3">
      <c r="E38" s="635"/>
    </row>
    <row r="39" spans="5:5" s="560" customFormat="1" ht="13.8" x14ac:dyDescent="0.3">
      <c r="E39" s="635"/>
    </row>
    <row r="40" spans="5:5" s="560" customFormat="1" ht="13.8" x14ac:dyDescent="0.3">
      <c r="E40" s="635"/>
    </row>
    <row r="41" spans="5:5" s="560" customFormat="1" ht="13.8" x14ac:dyDescent="0.3">
      <c r="E41" s="635"/>
    </row>
    <row r="42" spans="5:5" s="560" customFormat="1" ht="4.8" customHeight="1" x14ac:dyDescent="0.3">
      <c r="E42" s="635"/>
    </row>
    <row r="43" spans="5:5" s="560" customFormat="1" ht="13.8" x14ac:dyDescent="0.3">
      <c r="E43" s="635"/>
    </row>
    <row r="44" spans="5:5" s="560" customFormat="1" ht="13.8" x14ac:dyDescent="0.3">
      <c r="E44" s="635"/>
    </row>
    <row r="45" spans="5:5" s="560" customFormat="1" ht="13.8" x14ac:dyDescent="0.3">
      <c r="E45" s="635"/>
    </row>
    <row r="46" spans="5:5" s="560" customFormat="1" ht="6" customHeight="1" x14ac:dyDescent="0.3">
      <c r="E46" s="635"/>
    </row>
    <row r="47" spans="5:5" s="560" customFormat="1" ht="13.8" x14ac:dyDescent="0.3">
      <c r="E47" s="635"/>
    </row>
    <row r="48" spans="5:5" s="560" customFormat="1" ht="13.8" x14ac:dyDescent="0.3">
      <c r="E48" s="635"/>
    </row>
    <row r="49" spans="5:5" s="560" customFormat="1" ht="13.8" x14ac:dyDescent="0.3">
      <c r="E49" s="635"/>
    </row>
    <row r="50" spans="5:5" s="560" customFormat="1" ht="4.8" customHeight="1" x14ac:dyDescent="0.3">
      <c r="E50" s="635"/>
    </row>
    <row r="52" spans="5:5" s="557" customFormat="1" ht="16.8" customHeight="1" x14ac:dyDescent="0.3">
      <c r="E52" s="635"/>
    </row>
    <row r="54" spans="5:5" ht="15.6" customHeight="1" x14ac:dyDescent="0.3"/>
    <row r="64" spans="5:5" ht="12.6" customHeight="1" x14ac:dyDescent="0.3"/>
    <row r="65" spans="3:3" ht="12.6" customHeight="1" x14ac:dyDescent="0.3"/>
    <row r="66" spans="3:3" ht="12.6" customHeight="1" x14ac:dyDescent="0.3"/>
    <row r="67" spans="3:3" ht="12.6" customHeight="1" x14ac:dyDescent="0.3"/>
    <row r="68" spans="3:3" ht="12.6" customHeight="1" x14ac:dyDescent="0.3"/>
    <row r="69" spans="3:3" ht="3" customHeight="1" x14ac:dyDescent="0.3">
      <c r="C69" s="240" t="s">
        <v>148</v>
      </c>
    </row>
    <row r="74" spans="3:3" ht="7.2" customHeight="1" x14ac:dyDescent="0.3"/>
    <row r="88" ht="3" customHeight="1" x14ac:dyDescent="0.3"/>
    <row r="89" ht="12.6" customHeight="1" x14ac:dyDescent="0.3"/>
    <row r="90" ht="12.6" customHeight="1" x14ac:dyDescent="0.3"/>
    <row r="91" ht="12.6" customHeight="1" x14ac:dyDescent="0.3"/>
    <row r="92" ht="12.6" customHeight="1" x14ac:dyDescent="0.3"/>
    <row r="93" ht="12.6" customHeight="1" x14ac:dyDescent="0.3"/>
  </sheetData>
  <sheetProtection algorithmName="SHA-512" hashValue="YWTKjEedBX9OX4NYda+pQAWLXWgWW/bO4X0ZUjStN9q+uT6XVfkwBRlWx5qb5FFKeAgqoPVt1lYCsFqvjdA4xQ==" saltValue="Cd8d48XE7ECGUUBdrVj0zw==" spinCount="100000" sheet="1" objects="1" scenarios="1" selectLockedCells="1" selectUnlockedCells="1"/>
  <printOptions horizontalCentered="1"/>
  <pageMargins left="0.75" right="0.5" top="0.75" bottom="1" header="0.3" footer="0.3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EFC3D-ACCF-418F-8B77-7CDC7CD07E2B}">
  <sheetPr>
    <tabColor rgb="FFC5D9F1"/>
    <pageSetUpPr fitToPage="1"/>
  </sheetPr>
  <dimension ref="A1:AN24"/>
  <sheetViews>
    <sheetView showGridLines="0" showRowColHeaders="0" zoomScaleNormal="100" zoomScaleSheetLayoutView="100" workbookViewId="0"/>
  </sheetViews>
  <sheetFormatPr defaultRowHeight="15.6" x14ac:dyDescent="0.3"/>
  <cols>
    <col min="1" max="1" width="3.109375" style="188" customWidth="1"/>
    <col min="2" max="2" width="5.5546875" style="212" customWidth="1"/>
    <col min="3" max="3" width="12" style="217" customWidth="1"/>
    <col min="4" max="5" width="13.88671875" style="213" customWidth="1"/>
    <col min="6" max="6" width="5.44140625" style="213" customWidth="1"/>
    <col min="7" max="7" width="13.88671875" style="213" customWidth="1"/>
    <col min="8" max="8" width="13.88671875" style="214" customWidth="1"/>
    <col min="9" max="9" width="1.109375" style="213" customWidth="1"/>
    <col min="10" max="10" width="13.88671875" style="215" customWidth="1"/>
    <col min="11" max="11" width="22.21875" style="215" customWidth="1"/>
    <col min="12" max="12" width="15" style="213" customWidth="1"/>
    <col min="13" max="13" width="15" style="216" customWidth="1"/>
    <col min="14" max="14" width="11.88671875" style="213" bestFit="1" customWidth="1"/>
    <col min="15" max="16384" width="8.88671875" style="214"/>
  </cols>
  <sheetData>
    <row r="1" spans="1:40" s="70" customFormat="1" ht="8.4" customHeight="1" x14ac:dyDescent="0.2">
      <c r="A1" s="69" t="s">
        <v>60</v>
      </c>
      <c r="E1" s="71"/>
      <c r="H1" s="170"/>
      <c r="W1" s="72"/>
    </row>
    <row r="2" spans="1:40" s="171" customFormat="1" ht="23.4" x14ac:dyDescent="0.45">
      <c r="A2" s="73"/>
      <c r="C2" s="74" t="s">
        <v>0</v>
      </c>
      <c r="G2" s="229"/>
      <c r="O2" s="73"/>
    </row>
    <row r="3" spans="1:40" s="231" customFormat="1" ht="18" x14ac:dyDescent="0.35">
      <c r="A3" s="78"/>
      <c r="B3" s="80"/>
      <c r="C3" s="230" t="s">
        <v>117</v>
      </c>
      <c r="F3" s="182"/>
      <c r="H3" s="175"/>
      <c r="K3" s="175"/>
      <c r="L3" s="175"/>
      <c r="M3" s="175"/>
      <c r="N3" s="175"/>
      <c r="O3" s="78"/>
      <c r="S3" s="175"/>
      <c r="T3" s="175"/>
      <c r="U3" s="175"/>
    </row>
    <row r="4" spans="1:40" s="88" customFormat="1" ht="14.4" x14ac:dyDescent="0.3">
      <c r="A4" s="84"/>
      <c r="C4" s="85"/>
      <c r="D4" s="86"/>
      <c r="E4" s="86"/>
      <c r="F4" s="86"/>
      <c r="G4" s="87"/>
      <c r="H4" s="86"/>
      <c r="I4" s="86"/>
      <c r="K4" s="86"/>
      <c r="L4" s="185"/>
      <c r="M4" s="86"/>
      <c r="N4" s="87"/>
    </row>
    <row r="5" spans="1:40" s="89" customFormat="1" x14ac:dyDescent="0.3">
      <c r="A5" s="232"/>
      <c r="C5" s="89" t="s">
        <v>246</v>
      </c>
      <c r="G5" s="233"/>
      <c r="O5" s="232"/>
    </row>
    <row r="6" spans="1:40" s="88" customFormat="1" ht="9.6" customHeight="1" x14ac:dyDescent="0.3">
      <c r="A6" s="84"/>
      <c r="F6" s="92"/>
      <c r="H6" s="93"/>
      <c r="I6" s="94"/>
      <c r="J6" s="93"/>
      <c r="N6" s="91"/>
      <c r="P6" s="94"/>
      <c r="Q6" s="93"/>
      <c r="T6" s="91"/>
      <c r="U6" s="86"/>
      <c r="V6" s="234"/>
    </row>
    <row r="7" spans="1:40" s="236" customFormat="1" ht="14.4" x14ac:dyDescent="0.3">
      <c r="A7" s="84"/>
      <c r="B7" s="235"/>
      <c r="C7" s="236" t="s">
        <v>259</v>
      </c>
      <c r="E7" s="237"/>
      <c r="G7" s="237"/>
      <c r="N7" s="238"/>
      <c r="O7" s="239"/>
      <c r="R7" s="237"/>
      <c r="S7" s="240"/>
      <c r="U7" s="237"/>
      <c r="Z7" s="237"/>
      <c r="AA7" s="239"/>
      <c r="AB7" s="237"/>
      <c r="AC7" s="237"/>
      <c r="AH7" s="239" t="s">
        <v>172</v>
      </c>
      <c r="AI7" s="237" t="s">
        <v>173</v>
      </c>
      <c r="AJ7" s="237" t="s">
        <v>174</v>
      </c>
      <c r="AK7" s="237" t="s">
        <v>175</v>
      </c>
      <c r="AL7" s="237" t="s">
        <v>176</v>
      </c>
      <c r="AM7" s="237" t="s">
        <v>177</v>
      </c>
      <c r="AN7" s="237"/>
    </row>
    <row r="8" spans="1:40" s="236" customFormat="1" ht="14.4" x14ac:dyDescent="0.3">
      <c r="A8" s="84"/>
      <c r="B8" s="235"/>
      <c r="C8" s="241" t="s">
        <v>260</v>
      </c>
      <c r="E8" s="237"/>
      <c r="G8" s="237"/>
      <c r="P8" s="237"/>
      <c r="R8" s="237"/>
      <c r="S8" s="240"/>
      <c r="U8" s="237"/>
      <c r="Z8" s="237"/>
      <c r="AA8" s="239"/>
      <c r="AB8" s="237"/>
      <c r="AC8" s="237"/>
      <c r="AH8" s="239"/>
      <c r="AI8" s="237"/>
      <c r="AJ8" s="237"/>
      <c r="AK8" s="237"/>
      <c r="AL8" s="237"/>
      <c r="AM8" s="237"/>
      <c r="AN8" s="237"/>
    </row>
    <row r="9" spans="1:40" s="236" customFormat="1" ht="14.4" x14ac:dyDescent="0.3">
      <c r="A9" s="84"/>
      <c r="B9" s="235"/>
      <c r="C9" s="242" t="s">
        <v>261</v>
      </c>
      <c r="E9" s="237"/>
      <c r="G9" s="237"/>
      <c r="P9" s="237"/>
      <c r="R9" s="237"/>
      <c r="S9" s="240"/>
      <c r="U9" s="237"/>
      <c r="Z9" s="237"/>
      <c r="AA9" s="239"/>
      <c r="AB9" s="237"/>
      <c r="AC9" s="237"/>
      <c r="AH9" s="239"/>
      <c r="AI9" s="237"/>
      <c r="AJ9" s="237"/>
      <c r="AK9" s="237"/>
      <c r="AL9" s="237"/>
      <c r="AM9" s="237"/>
      <c r="AN9" s="237"/>
    </row>
    <row r="10" spans="1:40" s="114" customFormat="1" ht="21" customHeight="1" x14ac:dyDescent="0.3">
      <c r="A10" s="112"/>
      <c r="F10" s="144"/>
      <c r="H10" s="199"/>
      <c r="I10" s="243"/>
      <c r="J10" s="199"/>
      <c r="P10" s="243"/>
      <c r="Q10" s="199"/>
      <c r="T10" s="145"/>
      <c r="U10" s="148"/>
      <c r="V10" s="244"/>
    </row>
    <row r="11" spans="1:40" s="211" customFormat="1" ht="18" x14ac:dyDescent="0.3">
      <c r="A11" s="204"/>
      <c r="B11" s="245"/>
      <c r="C11" s="246"/>
      <c r="D11" s="894" t="s">
        <v>2</v>
      </c>
      <c r="E11" s="894"/>
      <c r="F11" s="247"/>
      <c r="G11" s="895" t="s">
        <v>169</v>
      </c>
      <c r="H11" s="895"/>
      <c r="I11" s="248"/>
      <c r="J11" s="249" t="s">
        <v>23</v>
      </c>
      <c r="K11" s="250"/>
      <c r="L11" s="251"/>
      <c r="M11" s="209"/>
      <c r="N11" s="209"/>
      <c r="O11" s="209"/>
    </row>
    <row r="12" spans="1:40" s="218" customFormat="1" ht="25.2" customHeight="1" x14ac:dyDescent="0.3">
      <c r="A12" s="220"/>
      <c r="B12" s="221"/>
      <c r="C12" s="222" t="s">
        <v>163</v>
      </c>
      <c r="D12" s="898" t="s">
        <v>68</v>
      </c>
      <c r="E12" s="899"/>
      <c r="F12" s="210"/>
      <c r="G12" s="896" t="s">
        <v>113</v>
      </c>
      <c r="H12" s="897"/>
      <c r="I12" s="219"/>
      <c r="J12" s="17" t="s">
        <v>113</v>
      </c>
      <c r="K12" s="207"/>
      <c r="N12" s="207"/>
    </row>
    <row r="13" spans="1:40" s="88" customFormat="1" ht="3.6" customHeight="1" x14ac:dyDescent="0.3">
      <c r="A13" s="84"/>
      <c r="C13" s="199"/>
      <c r="D13" s="86"/>
      <c r="E13" s="86"/>
      <c r="F13" s="86"/>
      <c r="G13" s="87"/>
      <c r="H13" s="86"/>
      <c r="I13" s="86"/>
      <c r="K13" s="86"/>
      <c r="L13" s="185"/>
      <c r="M13" s="86"/>
      <c r="N13" s="87"/>
      <c r="P13" s="187"/>
    </row>
    <row r="14" spans="1:40" s="88" customFormat="1" ht="14.4" x14ac:dyDescent="0.3">
      <c r="A14" s="84"/>
      <c r="C14" s="199"/>
      <c r="D14" s="225" t="s">
        <v>208</v>
      </c>
      <c r="E14" s="225" t="s">
        <v>214</v>
      </c>
      <c r="F14" s="226"/>
      <c r="G14" s="227" t="s">
        <v>208</v>
      </c>
      <c r="H14" s="227" t="s">
        <v>215</v>
      </c>
      <c r="I14" s="226"/>
      <c r="J14" s="228" t="s">
        <v>216</v>
      </c>
      <c r="K14" s="148"/>
      <c r="L14" s="185"/>
      <c r="M14" s="185"/>
      <c r="N14" s="185"/>
    </row>
    <row r="15" spans="1:40" s="218" customFormat="1" ht="25.2" customHeight="1" x14ac:dyDescent="0.3">
      <c r="A15" s="220"/>
      <c r="B15" s="221"/>
      <c r="C15" s="222" t="s">
        <v>66</v>
      </c>
      <c r="D15" s="27" t="s">
        <v>223</v>
      </c>
      <c r="E15" s="28" t="s">
        <v>222</v>
      </c>
      <c r="F15" s="210"/>
      <c r="G15" s="18" t="s">
        <v>164</v>
      </c>
      <c r="H15" s="19" t="s">
        <v>58</v>
      </c>
      <c r="I15" s="219"/>
      <c r="J15" s="20" t="s">
        <v>58</v>
      </c>
      <c r="K15" s="207"/>
    </row>
    <row r="16" spans="1:40" s="218" customFormat="1" ht="25.2" customHeight="1" x14ac:dyDescent="0.3">
      <c r="A16" s="220"/>
      <c r="B16" s="221"/>
      <c r="C16" s="97" t="s">
        <v>165</v>
      </c>
      <c r="D16" s="29" t="s">
        <v>16</v>
      </c>
      <c r="E16" s="30" t="s">
        <v>166</v>
      </c>
      <c r="F16" s="224"/>
      <c r="G16" s="63" t="s">
        <v>168</v>
      </c>
      <c r="H16" s="64" t="s">
        <v>170</v>
      </c>
      <c r="I16" s="219"/>
      <c r="J16" s="21" t="s">
        <v>171</v>
      </c>
      <c r="K16" s="207"/>
      <c r="O16" s="221"/>
    </row>
    <row r="17" spans="1:16" s="88" customFormat="1" ht="7.2" customHeight="1" x14ac:dyDescent="0.3">
      <c r="A17" s="84"/>
      <c r="C17" s="199"/>
      <c r="D17" s="223"/>
      <c r="E17" s="223"/>
      <c r="F17" s="223"/>
      <c r="G17" s="223"/>
      <c r="H17" s="223"/>
      <c r="I17" s="223"/>
      <c r="J17" s="158"/>
      <c r="K17" s="86"/>
      <c r="L17" s="185"/>
      <c r="M17" s="86"/>
      <c r="N17" s="87"/>
      <c r="P17" s="187"/>
    </row>
    <row r="18" spans="1:16" s="218" customFormat="1" ht="25.2" customHeight="1" x14ac:dyDescent="0.3">
      <c r="A18" s="220"/>
      <c r="B18" s="221"/>
      <c r="C18" s="222" t="s">
        <v>162</v>
      </c>
      <c r="D18" s="27" t="s">
        <v>61</v>
      </c>
      <c r="E18" s="28" t="s">
        <v>62</v>
      </c>
      <c r="F18" s="210"/>
      <c r="G18" s="18" t="s">
        <v>61</v>
      </c>
      <c r="H18" s="19" t="s">
        <v>13</v>
      </c>
      <c r="I18" s="219"/>
      <c r="J18" s="20" t="s">
        <v>13</v>
      </c>
      <c r="K18" s="207"/>
      <c r="N18" s="207"/>
    </row>
    <row r="19" spans="1:16" s="218" customFormat="1" ht="25.2" customHeight="1" x14ac:dyDescent="0.3">
      <c r="A19" s="220"/>
      <c r="B19" s="221"/>
      <c r="C19" s="222" t="s">
        <v>167</v>
      </c>
      <c r="D19" s="31" t="s">
        <v>114</v>
      </c>
      <c r="E19" s="32" t="s">
        <v>115</v>
      </c>
      <c r="F19" s="210"/>
      <c r="G19" s="22" t="s">
        <v>114</v>
      </c>
      <c r="H19" s="23" t="s">
        <v>115</v>
      </c>
      <c r="I19" s="219"/>
      <c r="J19" s="24" t="s">
        <v>157</v>
      </c>
      <c r="K19" s="207"/>
      <c r="M19" s="144"/>
      <c r="N19" s="207"/>
    </row>
    <row r="20" spans="1:16" s="88" customFormat="1" ht="7.2" customHeight="1" x14ac:dyDescent="0.3">
      <c r="A20" s="84"/>
      <c r="C20" s="199"/>
      <c r="D20" s="223"/>
      <c r="E20" s="223"/>
      <c r="F20" s="223"/>
      <c r="G20" s="223"/>
      <c r="H20" s="223"/>
      <c r="I20" s="223"/>
      <c r="J20" s="158"/>
      <c r="K20" s="86"/>
      <c r="L20" s="185"/>
      <c r="M20" s="86"/>
      <c r="N20" s="87"/>
      <c r="P20" s="187"/>
    </row>
    <row r="21" spans="1:16" s="218" customFormat="1" ht="25.2" customHeight="1" x14ac:dyDescent="0.3">
      <c r="A21" s="220"/>
      <c r="B21" s="221"/>
      <c r="C21" s="222" t="s">
        <v>17</v>
      </c>
      <c r="D21" s="27" t="s">
        <v>13</v>
      </c>
      <c r="E21" s="28" t="s">
        <v>116</v>
      </c>
      <c r="F21" s="210"/>
      <c r="G21" s="18"/>
      <c r="H21" s="19"/>
      <c r="I21" s="219"/>
      <c r="J21" s="20"/>
      <c r="K21" s="207"/>
      <c r="N21" s="207"/>
    </row>
    <row r="22" spans="1:16" s="218" customFormat="1" ht="25.2" customHeight="1" x14ac:dyDescent="0.3">
      <c r="A22" s="220"/>
      <c r="B22" s="221"/>
      <c r="C22" s="222" t="s">
        <v>15</v>
      </c>
      <c r="D22" s="31"/>
      <c r="E22" s="32"/>
      <c r="F22" s="210"/>
      <c r="G22" s="22" t="s">
        <v>13</v>
      </c>
      <c r="H22" s="23" t="s">
        <v>13</v>
      </c>
      <c r="I22" s="219"/>
      <c r="J22" s="24" t="s">
        <v>116</v>
      </c>
      <c r="K22" s="207"/>
      <c r="N22" s="207"/>
    </row>
    <row r="23" spans="1:16" s="211" customFormat="1" x14ac:dyDescent="0.3">
      <c r="A23" s="204"/>
      <c r="B23" s="205"/>
      <c r="C23" s="205"/>
      <c r="D23" s="206"/>
      <c r="E23" s="207"/>
      <c r="F23" s="206"/>
      <c r="G23" s="206"/>
      <c r="H23" s="208"/>
      <c r="I23" s="209"/>
      <c r="J23" s="210"/>
      <c r="K23" s="210"/>
      <c r="L23" s="209"/>
      <c r="M23" s="209"/>
      <c r="N23" s="209"/>
    </row>
    <row r="24" spans="1:16" x14ac:dyDescent="0.3">
      <c r="C24" s="212"/>
    </row>
  </sheetData>
  <sheetProtection algorithmName="SHA-512" hashValue="Vm90f2T69Phs6aasVtN4t6tBi969n3EIlAQWjDRIMg8Qu4VRkrLNcyBz7mR6HrKphfaiEpXKnb55dZMNXTA3dA==" saltValue="PBzDHwORCLi6MonwpReblg==" spinCount="100000" sheet="1" objects="1" scenarios="1" selectLockedCells="1" selectUnlockedCells="1"/>
  <mergeCells count="4">
    <mergeCell ref="D11:E11"/>
    <mergeCell ref="G11:H11"/>
    <mergeCell ref="G12:H12"/>
    <mergeCell ref="D12:E12"/>
  </mergeCells>
  <printOptions horizontalCentered="1"/>
  <pageMargins left="0.5" right="0.5" top="0.75" bottom="0.5" header="0.3" footer="0.3"/>
  <pageSetup orientation="landscape" r:id="rId1"/>
  <headerFooter scaleWithDoc="0" alignWithMargins="0">
    <oddFooter>&amp;LBalance Sheet Fundamentals&amp;RPage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AEDC7-D34B-472E-B339-5A428D6263D3}">
  <sheetPr codeName="Sheet4">
    <tabColor rgb="FFC5D9F1"/>
    <pageSetUpPr fitToPage="1"/>
  </sheetPr>
  <dimension ref="A1:W42"/>
  <sheetViews>
    <sheetView showGridLines="0" showRowColHeaders="0" zoomScaleNormal="100" zoomScaleSheetLayoutView="70" workbookViewId="0"/>
  </sheetViews>
  <sheetFormatPr defaultColWidth="11.5546875" defaultRowHeight="14.4" x14ac:dyDescent="0.3"/>
  <cols>
    <col min="1" max="1" width="3.109375" style="84" customWidth="1"/>
    <col min="2" max="2" width="5.5546875" style="92" customWidth="1"/>
    <col min="3" max="3" width="15.5546875" style="92" customWidth="1"/>
    <col min="4" max="5" width="7.109375" style="90" customWidth="1"/>
    <col min="6" max="6" width="6.6640625" style="261" customWidth="1"/>
    <col min="7" max="7" width="9.6640625" style="92" customWidth="1"/>
    <col min="8" max="8" width="5.5546875" style="92" customWidth="1"/>
    <col min="9" max="9" width="17.6640625" style="92" bestFit="1" customWidth="1"/>
    <col min="10" max="11" width="7.33203125" style="91" bestFit="1" customWidth="1"/>
    <col min="12" max="12" width="7" style="91" customWidth="1"/>
    <col min="13" max="13" width="9.77734375" style="88" customWidth="1"/>
    <col min="14" max="14" width="5.5546875" style="92" customWidth="1"/>
    <col min="15" max="15" width="21.109375" style="92" bestFit="1" customWidth="1"/>
    <col min="16" max="16" width="5.88671875" style="90" bestFit="1" customWidth="1"/>
    <col min="17" max="17" width="6.33203125" style="91" customWidth="1"/>
    <col min="18" max="18" width="7.109375" style="91" customWidth="1"/>
    <col min="19" max="19" width="5.5546875" style="92" customWidth="1"/>
    <col min="20" max="20" width="14.109375" style="88" customWidth="1"/>
    <col min="21" max="21" width="6.33203125" style="91" customWidth="1"/>
    <col min="22" max="22" width="7.6640625" style="92" customWidth="1"/>
    <col min="23" max="16384" width="11.5546875" style="92"/>
  </cols>
  <sheetData>
    <row r="1" spans="1:23" s="70" customFormat="1" ht="8.4" customHeight="1" x14ac:dyDescent="0.2">
      <c r="A1" s="69" t="s">
        <v>60</v>
      </c>
      <c r="E1" s="71"/>
      <c r="H1" s="170"/>
      <c r="W1" s="72"/>
    </row>
    <row r="2" spans="1:23" s="171" customFormat="1" ht="23.4" x14ac:dyDescent="0.45">
      <c r="A2" s="73"/>
      <c r="C2" s="74" t="s">
        <v>213</v>
      </c>
      <c r="D2" s="294"/>
      <c r="E2" s="294"/>
      <c r="F2" s="294"/>
      <c r="J2" s="172"/>
      <c r="K2" s="172"/>
      <c r="L2" s="172"/>
      <c r="M2" s="229"/>
      <c r="P2" s="294"/>
      <c r="Q2" s="172"/>
      <c r="R2" s="172"/>
      <c r="T2" s="229"/>
      <c r="U2" s="172"/>
    </row>
    <row r="3" spans="1:23" s="231" customFormat="1" ht="18" x14ac:dyDescent="0.35">
      <c r="A3" s="78"/>
      <c r="B3" s="80"/>
      <c r="C3" s="230" t="s">
        <v>179</v>
      </c>
      <c r="D3" s="295"/>
      <c r="E3" s="295"/>
      <c r="F3" s="295"/>
      <c r="G3" s="296"/>
      <c r="I3" s="175"/>
      <c r="J3" s="177"/>
      <c r="K3" s="177"/>
      <c r="L3" s="177"/>
      <c r="M3" s="297"/>
      <c r="O3" s="175"/>
      <c r="P3" s="295"/>
      <c r="Q3" s="177"/>
      <c r="R3" s="177"/>
      <c r="U3" s="177"/>
    </row>
    <row r="4" spans="1:23" s="88" customFormat="1" x14ac:dyDescent="0.3">
      <c r="A4" s="84"/>
      <c r="C4" s="86"/>
      <c r="D4" s="185"/>
      <c r="E4" s="185"/>
      <c r="F4" s="185"/>
      <c r="G4" s="86"/>
      <c r="H4" s="86"/>
      <c r="I4" s="86"/>
      <c r="J4" s="184"/>
      <c r="L4" s="184"/>
      <c r="M4" s="87"/>
      <c r="N4" s="86"/>
      <c r="P4" s="90"/>
      <c r="Q4" s="91"/>
      <c r="R4" s="91"/>
      <c r="S4" s="86"/>
      <c r="U4" s="91"/>
    </row>
    <row r="5" spans="1:23" s="189" customFormat="1" ht="15.6" x14ac:dyDescent="0.3">
      <c r="A5" s="188"/>
      <c r="C5" s="89" t="s">
        <v>219</v>
      </c>
      <c r="D5" s="298"/>
      <c r="E5" s="298"/>
      <c r="F5" s="298"/>
      <c r="G5" s="89"/>
      <c r="H5" s="89"/>
      <c r="I5" s="89"/>
      <c r="J5" s="190"/>
      <c r="K5" s="190"/>
      <c r="L5" s="190"/>
      <c r="M5" s="233"/>
      <c r="N5" s="89"/>
      <c r="P5" s="299"/>
      <c r="Q5" s="193"/>
      <c r="R5" s="193"/>
      <c r="S5" s="89"/>
      <c r="U5" s="193"/>
    </row>
    <row r="6" spans="1:23" s="114" customFormat="1" ht="13.8" x14ac:dyDescent="0.3">
      <c r="A6" s="112"/>
      <c r="C6" s="114" t="s">
        <v>245</v>
      </c>
      <c r="D6" s="300"/>
      <c r="E6" s="300"/>
      <c r="F6" s="300"/>
      <c r="G6" s="148"/>
      <c r="H6" s="148"/>
      <c r="I6" s="148"/>
      <c r="J6" s="146"/>
      <c r="K6" s="146"/>
      <c r="L6" s="146"/>
      <c r="M6" s="147"/>
      <c r="N6" s="148"/>
      <c r="P6" s="260"/>
      <c r="Q6" s="145"/>
      <c r="R6" s="145"/>
      <c r="S6" s="148"/>
      <c r="U6" s="145"/>
    </row>
    <row r="7" spans="1:23" s="114" customFormat="1" ht="10.8" customHeight="1" x14ac:dyDescent="0.3">
      <c r="A7" s="112"/>
      <c r="F7" s="144"/>
      <c r="H7" s="199"/>
      <c r="I7" s="243"/>
      <c r="J7" s="199"/>
      <c r="O7" s="243"/>
      <c r="P7" s="301"/>
      <c r="U7" s="145"/>
    </row>
    <row r="8" spans="1:23" s="114" customFormat="1" ht="13.8" x14ac:dyDescent="0.3">
      <c r="A8" s="112"/>
      <c r="C8" s="302" t="s">
        <v>3</v>
      </c>
      <c r="F8" s="144"/>
      <c r="H8" s="199"/>
      <c r="I8" s="303" t="s">
        <v>0</v>
      </c>
      <c r="J8" s="199"/>
      <c r="O8" s="303" t="s">
        <v>50</v>
      </c>
      <c r="P8" s="301"/>
      <c r="U8" s="145"/>
    </row>
    <row r="9" spans="1:23" s="304" customFormat="1" ht="13.8" x14ac:dyDescent="0.3">
      <c r="A9" s="104"/>
      <c r="B9" s="200"/>
      <c r="D9" s="305" t="s">
        <v>181</v>
      </c>
      <c r="E9" s="305" t="s">
        <v>182</v>
      </c>
      <c r="F9" s="305" t="s">
        <v>158</v>
      </c>
      <c r="G9" s="306"/>
      <c r="H9" s="306"/>
      <c r="J9" s="307" t="s">
        <v>181</v>
      </c>
      <c r="K9" s="307" t="s">
        <v>182</v>
      </c>
      <c r="L9" s="305" t="s">
        <v>158</v>
      </c>
      <c r="M9" s="308"/>
      <c r="N9" s="306"/>
      <c r="P9" s="307" t="s">
        <v>182</v>
      </c>
      <c r="Q9" s="305" t="s">
        <v>158</v>
      </c>
      <c r="R9" s="305"/>
      <c r="S9" s="307"/>
      <c r="T9" s="309" t="s">
        <v>11</v>
      </c>
      <c r="U9" s="307"/>
      <c r="V9" s="200"/>
    </row>
    <row r="10" spans="1:23" s="144" customFormat="1" ht="13.8" x14ac:dyDescent="0.3">
      <c r="A10" s="293"/>
      <c r="B10" s="165"/>
      <c r="C10" s="273" t="s">
        <v>26</v>
      </c>
      <c r="D10" s="274">
        <f>Financials!D8</f>
        <v>4500</v>
      </c>
      <c r="E10" s="253">
        <f>Financials!E8</f>
        <v>4635</v>
      </c>
      <c r="F10" s="679">
        <f>U10</f>
        <v>4774</v>
      </c>
      <c r="G10" s="561" t="s">
        <v>195</v>
      </c>
      <c r="H10" s="292"/>
      <c r="I10" s="268" t="s">
        <v>10</v>
      </c>
      <c r="J10" s="253">
        <f>Financials!I8</f>
        <v>3195</v>
      </c>
      <c r="K10" s="253">
        <f>Financials!J8</f>
        <v>3240.6434285714286</v>
      </c>
      <c r="L10" s="679">
        <f>L27-SUM(L16,L11:L12)</f>
        <v>3708.7284280240829</v>
      </c>
      <c r="M10" s="562" t="s">
        <v>94</v>
      </c>
      <c r="N10" s="292"/>
      <c r="O10" s="288" t="s">
        <v>1</v>
      </c>
      <c r="P10" s="253">
        <f>E22</f>
        <v>632.64342857142856</v>
      </c>
      <c r="Q10" s="679">
        <f>F22</f>
        <v>721.57388834154358</v>
      </c>
      <c r="R10" s="563" t="s">
        <v>94</v>
      </c>
      <c r="S10" s="292"/>
      <c r="T10" s="144" t="s">
        <v>267</v>
      </c>
      <c r="U10" s="680">
        <v>4774</v>
      </c>
      <c r="V10" s="292"/>
    </row>
    <row r="11" spans="1:23" s="144" customFormat="1" ht="13.8" x14ac:dyDescent="0.3">
      <c r="A11" s="112"/>
      <c r="C11" s="282" t="s">
        <v>56</v>
      </c>
      <c r="D11" s="281">
        <f>Financials!D9</f>
        <v>800</v>
      </c>
      <c r="E11" s="271">
        <f>Financials!E9</f>
        <v>825</v>
      </c>
      <c r="F11" s="681">
        <f>SUM(D11:E11)/SUM($D$10:$E$10)*F10</f>
        <v>849.23371647509578</v>
      </c>
      <c r="G11" s="564" t="s">
        <v>196</v>
      </c>
      <c r="I11" s="268" t="s">
        <v>44</v>
      </c>
      <c r="J11" s="253">
        <f>Financials!I9</f>
        <v>901</v>
      </c>
      <c r="K11" s="253">
        <f>Financials!J9</f>
        <v>955</v>
      </c>
      <c r="L11" s="682">
        <f>SUM(J11:K11)/SUM($D$10:$E$10)*F10</f>
        <v>969.95555555555552</v>
      </c>
      <c r="M11" s="565" t="s">
        <v>196</v>
      </c>
      <c r="O11" s="288" t="s">
        <v>24</v>
      </c>
      <c r="P11" s="253">
        <f>E18</f>
        <v>100</v>
      </c>
      <c r="Q11" s="681">
        <f>F18</f>
        <v>50</v>
      </c>
      <c r="R11" s="566" t="s">
        <v>94</v>
      </c>
      <c r="T11" s="144" t="s">
        <v>24</v>
      </c>
      <c r="U11" s="683">
        <v>50</v>
      </c>
    </row>
    <row r="12" spans="1:23" s="144" customFormat="1" ht="13.8" x14ac:dyDescent="0.3">
      <c r="A12" s="291"/>
      <c r="C12" s="273" t="s">
        <v>19</v>
      </c>
      <c r="D12" s="274">
        <f>Financials!D10</f>
        <v>3700</v>
      </c>
      <c r="E12" s="253">
        <f>Financials!E10</f>
        <v>3810</v>
      </c>
      <c r="F12" s="254">
        <f>+F10-F11</f>
        <v>3924.7662835249043</v>
      </c>
      <c r="G12" s="276" t="s">
        <v>180</v>
      </c>
      <c r="I12" s="270" t="s">
        <v>16</v>
      </c>
      <c r="J12" s="271">
        <f>Financials!I10</f>
        <v>800</v>
      </c>
      <c r="K12" s="271">
        <f>Financials!J10</f>
        <v>850</v>
      </c>
      <c r="L12" s="681">
        <f>SUM(J12:K12)/SUM($D$10:$E$10)*$F$10</f>
        <v>862.29885057471267</v>
      </c>
      <c r="M12" s="564" t="s">
        <v>196</v>
      </c>
      <c r="O12" s="288" t="s">
        <v>197</v>
      </c>
      <c r="P12" s="253"/>
      <c r="Q12" s="289"/>
      <c r="R12" s="290"/>
      <c r="T12" s="144" t="s">
        <v>31</v>
      </c>
      <c r="U12" s="683">
        <v>74</v>
      </c>
    </row>
    <row r="13" spans="1:23" s="144" customFormat="1" ht="13.8" x14ac:dyDescent="0.3">
      <c r="A13" s="112"/>
      <c r="C13" s="275" t="s">
        <v>29</v>
      </c>
      <c r="D13" s="274">
        <f>Financials!D11</f>
        <v>2200</v>
      </c>
      <c r="E13" s="253">
        <f>Financials!E11</f>
        <v>2200</v>
      </c>
      <c r="F13" s="679">
        <f>E13</f>
        <v>2200</v>
      </c>
      <c r="G13" s="567" t="s">
        <v>220</v>
      </c>
      <c r="I13" s="252" t="s">
        <v>7</v>
      </c>
      <c r="J13" s="253">
        <f>Financials!I11</f>
        <v>4896</v>
      </c>
      <c r="K13" s="253">
        <f>Financials!J11</f>
        <v>5045.6434285714286</v>
      </c>
      <c r="L13" s="254">
        <f>SUM(L10:L12)</f>
        <v>5540.9828341543507</v>
      </c>
      <c r="M13" s="287"/>
      <c r="O13" s="278" t="s">
        <v>205</v>
      </c>
      <c r="P13" s="253">
        <f>J11-K11</f>
        <v>-54</v>
      </c>
      <c r="Q13" s="679">
        <f>K11-L11</f>
        <v>-14.95555555555552</v>
      </c>
      <c r="R13" s="563" t="s">
        <v>94</v>
      </c>
      <c r="T13" s="144" t="s">
        <v>43</v>
      </c>
      <c r="U13" s="683">
        <v>100</v>
      </c>
    </row>
    <row r="14" spans="1:23" s="144" customFormat="1" ht="13.8" x14ac:dyDescent="0.3">
      <c r="A14" s="112"/>
      <c r="C14" s="275" t="s">
        <v>30</v>
      </c>
      <c r="D14" s="274">
        <f>Financials!D12</f>
        <v>65</v>
      </c>
      <c r="E14" s="253">
        <f>Financials!E12</f>
        <v>65</v>
      </c>
      <c r="F14" s="682">
        <f>E14</f>
        <v>65</v>
      </c>
      <c r="G14" s="568" t="s">
        <v>220</v>
      </c>
      <c r="I14" s="268" t="s">
        <v>43</v>
      </c>
      <c r="J14" s="253">
        <f>Financials!I12</f>
        <v>1845</v>
      </c>
      <c r="K14" s="253">
        <f>Financials!J12</f>
        <v>2100</v>
      </c>
      <c r="L14" s="679">
        <f>K14+U13</f>
        <v>2200</v>
      </c>
      <c r="M14" s="561" t="s">
        <v>195</v>
      </c>
      <c r="O14" s="278" t="s">
        <v>35</v>
      </c>
      <c r="P14" s="253">
        <f>J12-K12</f>
        <v>-50</v>
      </c>
      <c r="Q14" s="682">
        <f>K12-L12</f>
        <v>-12.298850574712674</v>
      </c>
      <c r="R14" s="569" t="s">
        <v>94</v>
      </c>
      <c r="T14" s="144" t="s">
        <v>268</v>
      </c>
      <c r="U14" s="683">
        <v>50</v>
      </c>
    </row>
    <row r="15" spans="1:23" s="144" customFormat="1" ht="13.8" x14ac:dyDescent="0.3">
      <c r="A15" s="112"/>
      <c r="C15" s="275" t="s">
        <v>31</v>
      </c>
      <c r="D15" s="274">
        <f>Financials!D13</f>
        <v>70</v>
      </c>
      <c r="E15" s="253">
        <f>Financials!E13</f>
        <v>72</v>
      </c>
      <c r="F15" s="682">
        <f>U12</f>
        <v>74</v>
      </c>
      <c r="G15" s="570" t="s">
        <v>195</v>
      </c>
      <c r="I15" s="268" t="s">
        <v>45</v>
      </c>
      <c r="J15" s="253">
        <f>Financials!I13</f>
        <v>-161</v>
      </c>
      <c r="K15" s="253">
        <f>Financials!J13</f>
        <v>-261</v>
      </c>
      <c r="L15" s="681">
        <f>K15-F18</f>
        <v>-311</v>
      </c>
      <c r="M15" s="571" t="s">
        <v>94</v>
      </c>
      <c r="O15" s="272" t="s">
        <v>36</v>
      </c>
      <c r="P15" s="271">
        <f>K18-J18</f>
        <v>72</v>
      </c>
      <c r="Q15" s="681">
        <f>L18-K18</f>
        <v>-26.234482758620686</v>
      </c>
      <c r="R15" s="566" t="s">
        <v>94</v>
      </c>
      <c r="T15" s="286" t="s">
        <v>269</v>
      </c>
      <c r="U15" s="683">
        <v>-50</v>
      </c>
    </row>
    <row r="16" spans="1:23" s="144" customFormat="1" ht="13.8" x14ac:dyDescent="0.3">
      <c r="A16" s="112"/>
      <c r="C16" s="282" t="s">
        <v>32</v>
      </c>
      <c r="D16" s="281">
        <f>Financials!D14</f>
        <v>180</v>
      </c>
      <c r="E16" s="271">
        <f>Financials!E14</f>
        <v>165</v>
      </c>
      <c r="F16" s="681">
        <f>SUM(D16:E16)/SUM($D$10:$E$10)*$F$10</f>
        <v>180.29885057471265</v>
      </c>
      <c r="G16" s="564" t="s">
        <v>196</v>
      </c>
      <c r="I16" s="283" t="s">
        <v>5</v>
      </c>
      <c r="J16" s="271">
        <f>Financials!I14</f>
        <v>1684</v>
      </c>
      <c r="K16" s="271">
        <f>Financials!J14</f>
        <v>1839</v>
      </c>
      <c r="L16" s="284">
        <f>SUM(L14:L15)</f>
        <v>1889</v>
      </c>
      <c r="M16" s="277"/>
      <c r="O16" s="285" t="s">
        <v>40</v>
      </c>
      <c r="P16" s="253">
        <f>SUM(P10:P15)</f>
        <v>700.64342857142856</v>
      </c>
      <c r="Q16" s="254">
        <f>SUM(Q10:Q15)</f>
        <v>718.08499945265476</v>
      </c>
      <c r="R16" s="265"/>
      <c r="T16" s="144" t="s">
        <v>266</v>
      </c>
      <c r="U16" s="684">
        <f>Financials!T10</f>
        <v>0.4</v>
      </c>
    </row>
    <row r="17" spans="1:21" s="144" customFormat="1" ht="13.8" x14ac:dyDescent="0.3">
      <c r="A17" s="112"/>
      <c r="C17" s="273" t="s">
        <v>90</v>
      </c>
      <c r="D17" s="274">
        <f>Financials!D15</f>
        <v>2515</v>
      </c>
      <c r="E17" s="253">
        <f>Financials!E15</f>
        <v>2502</v>
      </c>
      <c r="F17" s="254">
        <f>SUM(F13:F16)</f>
        <v>2519.2988505747126</v>
      </c>
      <c r="G17" s="276" t="s">
        <v>180</v>
      </c>
      <c r="I17" s="252" t="s">
        <v>52</v>
      </c>
      <c r="J17" s="253">
        <f>Financials!I15</f>
        <v>6580</v>
      </c>
      <c r="K17" s="253">
        <f>Financials!J15</f>
        <v>6884.6434285714286</v>
      </c>
      <c r="L17" s="254">
        <f>L13+L16</f>
        <v>7429.9828341543507</v>
      </c>
      <c r="M17" s="259"/>
      <c r="O17" s="272" t="s">
        <v>25</v>
      </c>
      <c r="P17" s="271">
        <f>J14-K14</f>
        <v>-255</v>
      </c>
      <c r="Q17" s="685">
        <f>K14-L14</f>
        <v>-100</v>
      </c>
      <c r="R17" s="572" t="s">
        <v>94</v>
      </c>
      <c r="T17" s="144" t="s">
        <v>276</v>
      </c>
      <c r="U17" s="573">
        <f>Financials!T8</f>
        <v>4.7771428571428569E-2</v>
      </c>
    </row>
    <row r="18" spans="1:21" s="144" customFormat="1" ht="13.8" x14ac:dyDescent="0.3">
      <c r="A18" s="112"/>
      <c r="C18" s="282" t="s">
        <v>24</v>
      </c>
      <c r="D18" s="281">
        <f>Financials!D16</f>
        <v>115</v>
      </c>
      <c r="E18" s="271">
        <f>Financials!E16</f>
        <v>100</v>
      </c>
      <c r="F18" s="685">
        <f>U11</f>
        <v>50</v>
      </c>
      <c r="G18" s="574" t="s">
        <v>195</v>
      </c>
      <c r="I18" s="268" t="s">
        <v>14</v>
      </c>
      <c r="J18" s="253">
        <f>Financials!I17</f>
        <v>180</v>
      </c>
      <c r="K18" s="253">
        <f>Financials!J17</f>
        <v>252</v>
      </c>
      <c r="L18" s="679">
        <f>SUM(J18:K18)/SUM($D$10:$E$10)*$F$10</f>
        <v>225.76551724137931</v>
      </c>
      <c r="M18" s="575" t="s">
        <v>196</v>
      </c>
      <c r="O18" s="263" t="s">
        <v>42</v>
      </c>
      <c r="P18" s="264">
        <f>SUM(P17)</f>
        <v>-255</v>
      </c>
      <c r="Q18" s="254">
        <f>SUM(Q17)</f>
        <v>-100</v>
      </c>
      <c r="R18" s="265"/>
      <c r="T18" s="144" t="s">
        <v>277</v>
      </c>
      <c r="U18" s="573">
        <f>Financials!T9</f>
        <v>6.2771428571428561E-2</v>
      </c>
    </row>
    <row r="19" spans="1:21" s="144" customFormat="1" ht="13.8" x14ac:dyDescent="0.3">
      <c r="A19" s="112"/>
      <c r="C19" s="273" t="s">
        <v>4</v>
      </c>
      <c r="D19" s="274">
        <f>Financials!D17</f>
        <v>1070</v>
      </c>
      <c r="E19" s="253">
        <f>Financials!E17</f>
        <v>1208</v>
      </c>
      <c r="F19" s="254">
        <f>F12-F17-F18</f>
        <v>1355.4674329501918</v>
      </c>
      <c r="G19" s="276" t="s">
        <v>180</v>
      </c>
      <c r="I19" s="270" t="s">
        <v>95</v>
      </c>
      <c r="J19" s="271">
        <f>Financials!I18</f>
        <v>800</v>
      </c>
      <c r="K19" s="271">
        <f>Financials!J18</f>
        <v>850</v>
      </c>
      <c r="L19" s="681">
        <f>K19+U14</f>
        <v>900</v>
      </c>
      <c r="M19" s="576" t="s">
        <v>195</v>
      </c>
      <c r="O19" s="278" t="s">
        <v>75</v>
      </c>
      <c r="P19" s="253">
        <f>K19-J19</f>
        <v>50</v>
      </c>
      <c r="Q19" s="679">
        <f>L19-K19</f>
        <v>50</v>
      </c>
      <c r="R19" s="563" t="s">
        <v>94</v>
      </c>
    </row>
    <row r="20" spans="1:21" s="144" customFormat="1" ht="13.8" x14ac:dyDescent="0.3">
      <c r="A20" s="112"/>
      <c r="C20" s="273" t="s">
        <v>34</v>
      </c>
      <c r="D20" s="274">
        <f>Financials!D18</f>
        <v>170.03714285714281</v>
      </c>
      <c r="E20" s="253">
        <f>Financials!E18</f>
        <v>153.59428571428569</v>
      </c>
      <c r="F20" s="679">
        <f>L19*U17+L21*U18</f>
        <v>152.84428571428569</v>
      </c>
      <c r="G20" s="562" t="s">
        <v>94</v>
      </c>
      <c r="I20" s="252" t="s">
        <v>8</v>
      </c>
      <c r="J20" s="253">
        <f>Financials!I19</f>
        <v>980</v>
      </c>
      <c r="K20" s="253">
        <f>Financials!J19</f>
        <v>1102</v>
      </c>
      <c r="L20" s="254">
        <f>SUM(L18:L19)</f>
        <v>1125.7655172413793</v>
      </c>
      <c r="M20" s="277"/>
      <c r="O20" s="278" t="s">
        <v>67</v>
      </c>
      <c r="P20" s="253">
        <f>K21-J21</f>
        <v>-300</v>
      </c>
      <c r="Q20" s="682">
        <f>L21-K21</f>
        <v>-50</v>
      </c>
      <c r="R20" s="569" t="s">
        <v>94</v>
      </c>
      <c r="T20" s="114"/>
      <c r="U20" s="145"/>
    </row>
    <row r="21" spans="1:21" s="144" customFormat="1" ht="13.8" x14ac:dyDescent="0.3">
      <c r="A21" s="112"/>
      <c r="C21" s="280" t="s">
        <v>33</v>
      </c>
      <c r="D21" s="281">
        <f>Financials!D19</f>
        <v>359.98514285714288</v>
      </c>
      <c r="E21" s="271">
        <f>Financials!E19</f>
        <v>421.76228571428578</v>
      </c>
      <c r="F21" s="681">
        <f>(F19-F20)*U16</f>
        <v>481.04925889436248</v>
      </c>
      <c r="G21" s="571" t="s">
        <v>94</v>
      </c>
      <c r="I21" s="279" t="s">
        <v>39</v>
      </c>
      <c r="J21" s="271">
        <f>Financials!I20</f>
        <v>2100</v>
      </c>
      <c r="K21" s="271">
        <f>Financials!J20</f>
        <v>1800</v>
      </c>
      <c r="L21" s="685">
        <f>K21+U15</f>
        <v>1750</v>
      </c>
      <c r="M21" s="574" t="s">
        <v>195</v>
      </c>
      <c r="O21" s="278" t="s">
        <v>82</v>
      </c>
      <c r="P21" s="253">
        <f>K23-J23</f>
        <v>0</v>
      </c>
      <c r="Q21" s="682">
        <f>L23-K23</f>
        <v>0</v>
      </c>
      <c r="R21" s="569" t="s">
        <v>94</v>
      </c>
      <c r="T21" s="114"/>
      <c r="U21" s="145"/>
    </row>
    <row r="22" spans="1:21" s="144" customFormat="1" ht="13.8" x14ac:dyDescent="0.3">
      <c r="A22" s="112"/>
      <c r="C22" s="275" t="s">
        <v>1</v>
      </c>
      <c r="D22" s="253">
        <f>Financials!D20</f>
        <v>539.97771428571423</v>
      </c>
      <c r="E22" s="253">
        <f>Financials!E20</f>
        <v>632.64342857142856</v>
      </c>
      <c r="F22" s="254">
        <f>F19-F20-F21</f>
        <v>721.57388834154358</v>
      </c>
      <c r="G22" s="276"/>
      <c r="I22" s="252" t="s">
        <v>53</v>
      </c>
      <c r="J22" s="253">
        <f>Financials!I21</f>
        <v>3080</v>
      </c>
      <c r="K22" s="253">
        <f>Financials!J21</f>
        <v>2902</v>
      </c>
      <c r="L22" s="254">
        <f>SUM(L20:L21)</f>
        <v>2875.7655172413793</v>
      </c>
      <c r="M22" s="277"/>
      <c r="O22" s="278" t="s">
        <v>83</v>
      </c>
      <c r="P22" s="253">
        <f>K24-J24</f>
        <v>0</v>
      </c>
      <c r="Q22" s="682">
        <f>L24-K24</f>
        <v>0</v>
      </c>
      <c r="R22" s="569" t="s">
        <v>94</v>
      </c>
      <c r="T22" s="114"/>
      <c r="U22" s="145"/>
    </row>
    <row r="23" spans="1:21" s="144" customFormat="1" ht="13.8" x14ac:dyDescent="0.3">
      <c r="A23" s="112"/>
      <c r="C23" s="273" t="s">
        <v>22</v>
      </c>
      <c r="D23" s="274">
        <f>Financials!D21</f>
        <v>150</v>
      </c>
      <c r="E23" s="253">
        <f>Financials!E21</f>
        <v>150</v>
      </c>
      <c r="F23" s="685">
        <f>E23</f>
        <v>150</v>
      </c>
      <c r="G23" s="574" t="s">
        <v>195</v>
      </c>
      <c r="I23" s="268" t="s">
        <v>81</v>
      </c>
      <c r="J23" s="253">
        <f>Financials!I23</f>
        <v>500</v>
      </c>
      <c r="K23" s="253">
        <f>Financials!J23</f>
        <v>500</v>
      </c>
      <c r="L23" s="679">
        <f>K23</f>
        <v>500</v>
      </c>
      <c r="M23" s="567" t="s">
        <v>220</v>
      </c>
      <c r="O23" s="272" t="s">
        <v>22</v>
      </c>
      <c r="P23" s="271">
        <f>-E23</f>
        <v>-150</v>
      </c>
      <c r="Q23" s="681">
        <f>-F23</f>
        <v>-150</v>
      </c>
      <c r="R23" s="566" t="s">
        <v>94</v>
      </c>
      <c r="T23" s="114"/>
      <c r="U23" s="145"/>
    </row>
    <row r="24" spans="1:21" s="144" customFormat="1" ht="13.8" x14ac:dyDescent="0.3">
      <c r="A24" s="112"/>
      <c r="C24" s="114"/>
      <c r="D24" s="267"/>
      <c r="E24" s="267"/>
      <c r="F24" s="258"/>
      <c r="I24" s="268" t="s">
        <v>12</v>
      </c>
      <c r="J24" s="253">
        <f>Financials!I24</f>
        <v>1600</v>
      </c>
      <c r="K24" s="253">
        <f>Financials!J24</f>
        <v>1600</v>
      </c>
      <c r="L24" s="682">
        <f>K24</f>
        <v>1600</v>
      </c>
      <c r="M24" s="568" t="s">
        <v>220</v>
      </c>
      <c r="O24" s="263" t="s">
        <v>41</v>
      </c>
      <c r="P24" s="264">
        <f>SUM(P19:P23)</f>
        <v>-400</v>
      </c>
      <c r="Q24" s="254">
        <f>SUM(Q19:Q23)</f>
        <v>-150</v>
      </c>
      <c r="R24" s="265"/>
      <c r="T24" s="114"/>
      <c r="U24" s="145"/>
    </row>
    <row r="25" spans="1:21" s="144" customFormat="1" ht="13.8" x14ac:dyDescent="0.3">
      <c r="A25" s="112"/>
      <c r="D25" s="269"/>
      <c r="E25" s="269"/>
      <c r="F25" s="258"/>
      <c r="I25" s="270" t="s">
        <v>18</v>
      </c>
      <c r="J25" s="271">
        <f>Financials!I25</f>
        <v>1400</v>
      </c>
      <c r="K25" s="271">
        <f>Financials!J25</f>
        <v>1882.6434285714286</v>
      </c>
      <c r="L25" s="681">
        <f>K25+F22-F23</f>
        <v>2454.2173169129719</v>
      </c>
      <c r="M25" s="571" t="s">
        <v>94</v>
      </c>
      <c r="O25" s="266" t="s">
        <v>190</v>
      </c>
      <c r="P25" s="253">
        <f>SUM(P16,P18,P24)</f>
        <v>45.643428571428558</v>
      </c>
      <c r="Q25" s="254">
        <f>SUM(Q16,Q18,Q24)</f>
        <v>468.08499945265476</v>
      </c>
      <c r="R25" s="257" t="str">
        <f>IF(ABS(Q25-Q26)&lt;0.2,_xlfn.UNICHAR(10004), _xlfn.UNICHAR(10006))</f>
        <v>✔</v>
      </c>
      <c r="T25" s="114"/>
      <c r="U25" s="145"/>
    </row>
    <row r="26" spans="1:21" s="144" customFormat="1" ht="13.8" x14ac:dyDescent="0.3">
      <c r="A26" s="181"/>
      <c r="B26" s="181"/>
      <c r="C26" s="181"/>
      <c r="D26" s="181"/>
      <c r="E26" s="181"/>
      <c r="F26" s="181"/>
      <c r="I26" s="252" t="s">
        <v>54</v>
      </c>
      <c r="J26" s="253">
        <f>Financials!I26</f>
        <v>3500</v>
      </c>
      <c r="K26" s="253">
        <f>Financials!J26</f>
        <v>3982.6434285714286</v>
      </c>
      <c r="L26" s="254">
        <f>SUM(L23:L25)</f>
        <v>4554.2173169129719</v>
      </c>
      <c r="M26" s="255"/>
      <c r="O26" s="256" t="s">
        <v>135</v>
      </c>
      <c r="P26" s="253">
        <f>K10-J10</f>
        <v>45.643428571428558</v>
      </c>
      <c r="Q26" s="254">
        <f>L10-K10</f>
        <v>468.0849994526543</v>
      </c>
      <c r="R26" s="257" t="str">
        <f>IF(ABS(Q25-Q26)&lt;0.2,_xlfn.UNICHAR(10004), _xlfn.UNICHAR(10006))</f>
        <v>✔</v>
      </c>
      <c r="T26" s="114"/>
      <c r="U26" s="145"/>
    </row>
    <row r="27" spans="1:21" s="144" customFormat="1" ht="13.8" x14ac:dyDescent="0.3">
      <c r="A27" s="258"/>
      <c r="B27" s="258"/>
      <c r="C27" s="258"/>
      <c r="D27" s="258"/>
      <c r="E27" s="258"/>
      <c r="F27" s="258"/>
      <c r="I27" s="252" t="s">
        <v>55</v>
      </c>
      <c r="J27" s="253">
        <f>Financials!I27</f>
        <v>6580</v>
      </c>
      <c r="K27" s="253">
        <f>Financials!J27</f>
        <v>6884.6434285714286</v>
      </c>
      <c r="L27" s="254">
        <f>L22+L26</f>
        <v>7429.9828341543507</v>
      </c>
      <c r="M27" s="259"/>
      <c r="P27" s="260"/>
      <c r="Q27" s="145"/>
      <c r="R27" s="145"/>
      <c r="T27" s="114"/>
      <c r="U27" s="145"/>
    </row>
    <row r="28" spans="1:21" x14ac:dyDescent="0.3">
      <c r="A28" s="261"/>
      <c r="B28" s="261"/>
      <c r="C28" s="261"/>
      <c r="D28" s="261"/>
      <c r="E28" s="261"/>
      <c r="T28" s="114"/>
      <c r="U28" s="145"/>
    </row>
    <row r="29" spans="1:21" x14ac:dyDescent="0.3">
      <c r="A29" s="185"/>
      <c r="B29" s="185"/>
      <c r="C29" s="185"/>
      <c r="D29" s="185"/>
      <c r="E29" s="185"/>
      <c r="F29" s="185"/>
      <c r="T29" s="114"/>
      <c r="U29" s="145"/>
    </row>
    <row r="30" spans="1:21" x14ac:dyDescent="0.3">
      <c r="A30" s="261"/>
      <c r="B30" s="261"/>
      <c r="C30" s="261"/>
      <c r="D30" s="261"/>
      <c r="E30" s="261"/>
      <c r="T30" s="114"/>
      <c r="U30" s="145"/>
    </row>
    <row r="31" spans="1:21" x14ac:dyDescent="0.3">
      <c r="A31" s="261"/>
      <c r="B31" s="261"/>
      <c r="C31" s="261"/>
      <c r="D31" s="261"/>
      <c r="E31" s="261"/>
      <c r="T31" s="114"/>
      <c r="U31" s="145"/>
    </row>
    <row r="32" spans="1:21" x14ac:dyDescent="0.3">
      <c r="A32" s="261"/>
      <c r="B32" s="261"/>
      <c r="C32" s="261"/>
      <c r="D32" s="261"/>
      <c r="E32" s="261"/>
      <c r="T32" s="114"/>
      <c r="U32" s="145"/>
    </row>
    <row r="33" spans="1:21" x14ac:dyDescent="0.3">
      <c r="A33" s="90"/>
      <c r="B33" s="90"/>
      <c r="C33" s="90"/>
      <c r="T33" s="114"/>
      <c r="U33" s="145"/>
    </row>
    <row r="34" spans="1:21" x14ac:dyDescent="0.3">
      <c r="T34" s="114"/>
    </row>
    <row r="35" spans="1:21" x14ac:dyDescent="0.3">
      <c r="O35" s="159"/>
      <c r="P35" s="262"/>
      <c r="Q35" s="160"/>
      <c r="R35" s="160"/>
      <c r="T35" s="114"/>
    </row>
    <row r="36" spans="1:21" x14ac:dyDescent="0.3">
      <c r="T36" s="114"/>
    </row>
    <row r="37" spans="1:21" x14ac:dyDescent="0.3">
      <c r="T37" s="114"/>
    </row>
    <row r="38" spans="1:21" x14ac:dyDescent="0.3">
      <c r="T38" s="114"/>
    </row>
    <row r="39" spans="1:21" x14ac:dyDescent="0.3">
      <c r="T39" s="114"/>
    </row>
    <row r="40" spans="1:21" x14ac:dyDescent="0.3">
      <c r="T40" s="114"/>
    </row>
    <row r="41" spans="1:21" x14ac:dyDescent="0.3">
      <c r="T41" s="114"/>
    </row>
    <row r="42" spans="1:21" x14ac:dyDescent="0.3">
      <c r="T42" s="114"/>
    </row>
  </sheetData>
  <sheetProtection algorithmName="SHA-512" hashValue="9+hU0YDURcxAU7tSEDUD6gv3ZtYZsvjYO86ae6AcGSEQLCKO2hX4nDUqrBUwa/aXkX7Tl57ucEHV6kJ7BZKdlg==" saltValue="SmTAHupzW52zCsgqK8ZQ7A==" spinCount="100000" sheet="1" objects="1" scenarios="1" selectLockedCells="1" selectUnlockedCells="1"/>
  <conditionalFormatting sqref="M17">
    <cfRule type="expression" dxfId="2" priority="3">
      <formula>IF(M17=_xlfn.UNICHAR(10006),TRUE,FALSE)</formula>
    </cfRule>
  </conditionalFormatting>
  <conditionalFormatting sqref="M27">
    <cfRule type="expression" dxfId="1" priority="2">
      <formula>IF(M27=_xlfn.UNICHAR(10006),TRUE,FALSE)</formula>
    </cfRule>
  </conditionalFormatting>
  <conditionalFormatting sqref="R25:R26">
    <cfRule type="expression" dxfId="0" priority="1">
      <formula>IF(R25=_xlfn.UNICHAR(10006),TRUE,FALSE)</formula>
    </cfRule>
  </conditionalFormatting>
  <printOptions horizontalCentered="1"/>
  <pageMargins left="0.5" right="0.5" top="0.75" bottom="0.5" header="0.5" footer="0.5"/>
  <pageSetup orientation="landscape" r:id="rId1"/>
  <headerFooter scaleWithDoc="0" alignWithMargins="0">
    <oddFooter>&amp;LFinancial Forecasting&amp;RPage &amp;P of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36F72-CB35-4016-8538-B74E724984F7}">
  <sheetPr>
    <tabColor rgb="FFF0D3D2"/>
    <pageSetUpPr fitToPage="1"/>
  </sheetPr>
  <dimension ref="A1:Y33"/>
  <sheetViews>
    <sheetView showGridLines="0" showRowColHeaders="0" zoomScaleNormal="100" zoomScaleSheetLayoutView="75" workbookViewId="0"/>
  </sheetViews>
  <sheetFormatPr defaultColWidth="9.21875" defaultRowHeight="14.4" x14ac:dyDescent="0.3"/>
  <cols>
    <col min="1" max="1" width="3.109375" style="84" customWidth="1"/>
    <col min="2" max="2" width="5.5546875" style="316" customWidth="1"/>
    <col min="3" max="3" width="23" style="316" customWidth="1"/>
    <col min="4" max="4" width="5.6640625" style="316" customWidth="1"/>
    <col min="5" max="5" width="3.109375" style="316" customWidth="1"/>
    <col min="6" max="6" width="1.21875" style="316" customWidth="1"/>
    <col min="7" max="7" width="3.109375" style="316" customWidth="1"/>
    <col min="8" max="8" width="1.77734375" style="316" customWidth="1"/>
    <col min="9" max="10" width="2.109375" style="339" customWidth="1"/>
    <col min="11" max="11" width="6.88671875" style="339" customWidth="1"/>
    <col min="12" max="12" width="5" style="339" customWidth="1"/>
    <col min="13" max="13" width="6.21875" style="317" customWidth="1"/>
    <col min="14" max="14" width="1.6640625" style="316" customWidth="1"/>
    <col min="15" max="15" width="5.6640625" style="316" customWidth="1"/>
    <col min="16" max="16" width="3.109375" style="316" customWidth="1"/>
    <col min="17" max="17" width="5.44140625" style="339" customWidth="1"/>
    <col min="18" max="18" width="18.77734375" style="320" customWidth="1"/>
    <col min="19" max="19" width="5.33203125" style="317" bestFit="1" customWidth="1"/>
    <col min="20" max="20" width="1.6640625" style="316" customWidth="1"/>
    <col min="21" max="21" width="22.88671875" style="316" customWidth="1"/>
    <col min="22" max="22" width="5.33203125" style="316" bestFit="1" customWidth="1"/>
    <col min="23" max="16384" width="9.21875" style="316"/>
  </cols>
  <sheetData>
    <row r="1" spans="1:25" s="70" customFormat="1" ht="8.4" customHeight="1" x14ac:dyDescent="0.2">
      <c r="A1" s="69" t="s">
        <v>60</v>
      </c>
      <c r="E1" s="71"/>
      <c r="H1" s="170"/>
      <c r="W1" s="72"/>
    </row>
    <row r="2" spans="1:25" s="75" customFormat="1" ht="23.4" x14ac:dyDescent="0.45">
      <c r="A2" s="73"/>
      <c r="C2" s="74" t="s">
        <v>47</v>
      </c>
      <c r="D2" s="74"/>
      <c r="E2" s="74"/>
      <c r="F2" s="74"/>
      <c r="I2" s="76"/>
      <c r="J2" s="76"/>
      <c r="K2" s="76"/>
      <c r="L2" s="76"/>
      <c r="M2" s="310"/>
      <c r="P2" s="74"/>
      <c r="Q2" s="76"/>
      <c r="R2" s="77"/>
      <c r="S2" s="310"/>
    </row>
    <row r="3" spans="1:25" s="80" customFormat="1" ht="18" x14ac:dyDescent="0.35">
      <c r="A3" s="78"/>
      <c r="C3" s="79" t="s">
        <v>129</v>
      </c>
      <c r="D3" s="311"/>
      <c r="E3" s="311"/>
      <c r="F3" s="311"/>
      <c r="I3" s="81"/>
      <c r="J3" s="81"/>
      <c r="K3" s="81"/>
      <c r="M3" s="312"/>
      <c r="P3" s="311"/>
      <c r="Q3" s="81"/>
      <c r="R3" s="313"/>
      <c r="S3" s="314"/>
      <c r="U3" s="315"/>
    </row>
    <row r="4" spans="1:25" s="88" customFormat="1" x14ac:dyDescent="0.3">
      <c r="A4" s="84"/>
      <c r="C4" s="85"/>
      <c r="D4" s="85"/>
      <c r="E4" s="85"/>
      <c r="F4" s="85"/>
      <c r="G4" s="86"/>
      <c r="H4" s="86"/>
      <c r="I4" s="87"/>
      <c r="J4" s="86"/>
      <c r="K4" s="86"/>
      <c r="L4" s="86"/>
      <c r="M4" s="90"/>
      <c r="N4" s="185"/>
      <c r="O4" s="87"/>
      <c r="P4" s="85"/>
      <c r="S4" s="90"/>
    </row>
    <row r="5" spans="1:25" s="88" customFormat="1" ht="15.6" x14ac:dyDescent="0.3">
      <c r="A5" s="84"/>
      <c r="C5" s="86" t="s">
        <v>230</v>
      </c>
      <c r="D5" s="86"/>
      <c r="E5" s="86"/>
      <c r="F5" s="86"/>
      <c r="G5" s="86"/>
      <c r="H5" s="86"/>
      <c r="I5" s="86"/>
      <c r="J5" s="86"/>
      <c r="K5" s="86"/>
      <c r="L5" s="86"/>
      <c r="M5" s="185"/>
      <c r="N5" s="86"/>
      <c r="O5" s="86"/>
      <c r="P5" s="86"/>
      <c r="S5" s="90"/>
      <c r="V5" s="91"/>
      <c r="W5" s="91"/>
      <c r="X5" s="91"/>
      <c r="Y5" s="91"/>
    </row>
    <row r="6" spans="1:25" s="88" customFormat="1" ht="9.6" customHeight="1" x14ac:dyDescent="0.3">
      <c r="A6" s="84"/>
      <c r="G6" s="92"/>
      <c r="I6" s="93"/>
      <c r="J6" s="94"/>
      <c r="K6" s="93"/>
      <c r="O6" s="91"/>
      <c r="Q6" s="94"/>
      <c r="R6" s="93"/>
      <c r="S6" s="90"/>
      <c r="U6" s="91"/>
      <c r="V6" s="86"/>
      <c r="W6" s="234"/>
    </row>
    <row r="7" spans="1:25" ht="14.4" customHeight="1" x14ac:dyDescent="0.3">
      <c r="C7" s="111" t="s">
        <v>136</v>
      </c>
      <c r="D7" s="909" t="s">
        <v>186</v>
      </c>
      <c r="E7" s="909"/>
      <c r="F7" s="909"/>
      <c r="G7" s="912" t="s">
        <v>70</v>
      </c>
      <c r="H7" s="914" t="s">
        <v>80</v>
      </c>
      <c r="I7" s="914"/>
      <c r="J7" s="910" t="s">
        <v>96</v>
      </c>
      <c r="K7" s="910"/>
      <c r="L7" s="66"/>
      <c r="O7" s="318" t="s">
        <v>315</v>
      </c>
      <c r="P7" s="319"/>
      <c r="Q7" s="319"/>
      <c r="U7" s="318" t="s">
        <v>316</v>
      </c>
    </row>
    <row r="8" spans="1:25" x14ac:dyDescent="0.3">
      <c r="C8" s="199" t="s">
        <v>137</v>
      </c>
      <c r="D8" s="909"/>
      <c r="E8" s="909"/>
      <c r="F8" s="909"/>
      <c r="G8" s="912"/>
      <c r="H8" s="913" t="s">
        <v>71</v>
      </c>
      <c r="I8" s="913"/>
      <c r="J8" s="911" t="s">
        <v>250</v>
      </c>
      <c r="K8" s="911"/>
      <c r="L8" s="321"/>
      <c r="N8" s="322"/>
      <c r="O8" s="323" t="s">
        <v>210</v>
      </c>
      <c r="P8" s="323"/>
      <c r="Q8" s="323"/>
      <c r="S8" s="324"/>
      <c r="U8" s="323" t="s">
        <v>211</v>
      </c>
    </row>
    <row r="9" spans="1:25" s="88" customFormat="1" ht="9.6" customHeight="1" x14ac:dyDescent="0.3">
      <c r="A9" s="84"/>
      <c r="G9" s="92"/>
      <c r="I9" s="93"/>
      <c r="J9" s="94"/>
      <c r="K9" s="93"/>
      <c r="O9" s="93"/>
      <c r="Q9" s="94"/>
      <c r="S9" s="90"/>
      <c r="U9" s="91"/>
      <c r="V9" s="86"/>
      <c r="W9" s="234"/>
    </row>
    <row r="10" spans="1:25" s="333" customFormat="1" ht="15" customHeight="1" x14ac:dyDescent="0.3">
      <c r="A10" s="325"/>
      <c r="B10" s="326"/>
      <c r="C10" s="326"/>
      <c r="D10" s="327" t="s">
        <v>6</v>
      </c>
      <c r="E10" s="328" t="s">
        <v>72</v>
      </c>
      <c r="F10" s="328"/>
      <c r="G10" s="906" t="s">
        <v>21</v>
      </c>
      <c r="H10" s="906"/>
      <c r="I10" s="906"/>
      <c r="J10" s="903" t="s">
        <v>69</v>
      </c>
      <c r="K10" s="903"/>
      <c r="L10" s="903"/>
      <c r="M10" s="329" t="s">
        <v>297</v>
      </c>
      <c r="N10" s="330"/>
      <c r="O10" s="327" t="s">
        <v>6</v>
      </c>
      <c r="P10" s="328" t="s">
        <v>72</v>
      </c>
      <c r="Q10" s="327" t="s">
        <v>21</v>
      </c>
      <c r="R10" s="329" t="s">
        <v>69</v>
      </c>
      <c r="S10" s="331" t="s">
        <v>296</v>
      </c>
      <c r="T10" s="330"/>
      <c r="U10" s="332" t="s">
        <v>69</v>
      </c>
      <c r="V10" s="331" t="s">
        <v>296</v>
      </c>
      <c r="W10" s="326"/>
      <c r="X10" s="326"/>
    </row>
    <row r="11" spans="1:25" s="62" customFormat="1" ht="13.8" x14ac:dyDescent="0.3">
      <c r="A11" s="112"/>
      <c r="B11" s="334"/>
      <c r="C11" s="335" t="s">
        <v>142</v>
      </c>
      <c r="D11" s="686">
        <f>WACC!$AA$25</f>
        <v>5.0683007518796994E-2</v>
      </c>
      <c r="E11" s="687">
        <v>0</v>
      </c>
      <c r="F11" s="904" t="s">
        <v>241</v>
      </c>
      <c r="G11" s="904"/>
      <c r="H11" s="904"/>
      <c r="I11" s="904"/>
      <c r="J11" s="577"/>
      <c r="K11" s="577"/>
      <c r="L11" s="577"/>
      <c r="M11" s="688">
        <f>F15/(1+D$11)^E15</f>
        <v>820.56533430614536</v>
      </c>
      <c r="O11" s="689">
        <f>WACC!$AA$25</f>
        <v>5.0683007518796994E-2</v>
      </c>
      <c r="P11" s="687">
        <v>0</v>
      </c>
      <c r="Q11" s="690" t="s">
        <v>241</v>
      </c>
      <c r="R11" s="343" t="str">
        <f>"NPV ("&amp;TEXT(O11,"0.0%")&amp;", "&amp;TEXT(Q12,"0")&amp;":"&amp;TEXT(Q15,"0")&amp;")"</f>
        <v>NPV (5.1%, 0:1000)</v>
      </c>
      <c r="S11" s="688">
        <f>NPV(O11,Q12:Q15)</f>
        <v>820.56533430614536</v>
      </c>
      <c r="U11" s="344" t="str">
        <f>"PV ("&amp;TEXT(O11,"0.0%")&amp;", "&amp;TEXT(P15,"0")&amp;", "&amp;TEXT(Q12,0)&amp;", "&amp;TEXT(Q15,"0")&amp;") * -1"</f>
        <v>PV (5.1%, 4, 0, 1000) * -1</v>
      </c>
      <c r="V11" s="688">
        <f>-PV(O11,P15,Q12,Q15)</f>
        <v>820.56533430614536</v>
      </c>
    </row>
    <row r="12" spans="1:25" s="62" customFormat="1" ht="13.8" x14ac:dyDescent="0.3">
      <c r="A12" s="112"/>
      <c r="C12" s="62" t="s">
        <v>144</v>
      </c>
      <c r="D12" s="691"/>
      <c r="E12" s="692">
        <v>1</v>
      </c>
      <c r="F12" s="901">
        <v>0</v>
      </c>
      <c r="G12" s="901"/>
      <c r="H12" s="901"/>
      <c r="I12" s="901"/>
      <c r="J12" s="26"/>
      <c r="K12" s="26"/>
      <c r="L12" s="26"/>
      <c r="M12" s="693"/>
      <c r="O12" s="694"/>
      <c r="P12" s="692">
        <v>1</v>
      </c>
      <c r="Q12" s="695">
        <v>0</v>
      </c>
      <c r="R12" s="25"/>
      <c r="S12" s="693"/>
      <c r="U12" s="578"/>
      <c r="V12" s="696"/>
    </row>
    <row r="13" spans="1:25" s="62" customFormat="1" ht="13.8" x14ac:dyDescent="0.3">
      <c r="A13" s="112"/>
      <c r="D13" s="691"/>
      <c r="E13" s="692">
        <v>2</v>
      </c>
      <c r="F13" s="901">
        <v>0</v>
      </c>
      <c r="G13" s="901"/>
      <c r="H13" s="901"/>
      <c r="I13" s="901"/>
      <c r="J13" s="26"/>
      <c r="K13" s="26"/>
      <c r="L13" s="26"/>
      <c r="M13" s="693"/>
      <c r="O13" s="694"/>
      <c r="P13" s="692">
        <v>2</v>
      </c>
      <c r="Q13" s="695">
        <v>0</v>
      </c>
      <c r="R13" s="25"/>
      <c r="S13" s="693"/>
      <c r="U13" s="578"/>
      <c r="V13" s="696"/>
    </row>
    <row r="14" spans="1:25" s="337" customFormat="1" ht="13.8" x14ac:dyDescent="0.3">
      <c r="A14" s="336"/>
      <c r="C14" s="62"/>
      <c r="D14" s="691"/>
      <c r="E14" s="692">
        <v>3</v>
      </c>
      <c r="F14" s="901">
        <v>0</v>
      </c>
      <c r="G14" s="901"/>
      <c r="H14" s="901"/>
      <c r="I14" s="901"/>
      <c r="J14" s="26"/>
      <c r="K14" s="26"/>
      <c r="L14" s="26"/>
      <c r="M14" s="693"/>
      <c r="N14" s="62"/>
      <c r="O14" s="694"/>
      <c r="P14" s="692">
        <v>3</v>
      </c>
      <c r="Q14" s="695">
        <v>0</v>
      </c>
      <c r="R14" s="25"/>
      <c r="S14" s="693"/>
      <c r="T14" s="62"/>
      <c r="U14" s="579"/>
      <c r="V14" s="696"/>
    </row>
    <row r="15" spans="1:25" s="114" customFormat="1" ht="14.4" customHeight="1" x14ac:dyDescent="0.3">
      <c r="A15" s="112"/>
      <c r="C15" s="62"/>
      <c r="D15" s="697"/>
      <c r="E15" s="698">
        <v>4</v>
      </c>
      <c r="F15" s="902">
        <v>1000</v>
      </c>
      <c r="G15" s="902"/>
      <c r="H15" s="902"/>
      <c r="I15" s="902"/>
      <c r="J15" s="908" t="str">
        <f>TEXT(F15,"0")&amp;"/"&amp;TEXT(1+$D$11,"0.000")&amp;" ^ "&amp;TEXT(E15,0)</f>
        <v>1000/1.051 ^ 4</v>
      </c>
      <c r="K15" s="908"/>
      <c r="L15" s="908"/>
      <c r="M15" s="699">
        <f>F15/(1+D$11)^E15</f>
        <v>820.56533430614536</v>
      </c>
      <c r="O15" s="700"/>
      <c r="P15" s="698">
        <v>4</v>
      </c>
      <c r="Q15" s="701">
        <v>1000</v>
      </c>
      <c r="R15" s="134"/>
      <c r="S15" s="699"/>
      <c r="U15" s="133"/>
      <c r="V15" s="702"/>
    </row>
    <row r="16" spans="1:25" s="62" customFormat="1" ht="13.8" x14ac:dyDescent="0.3">
      <c r="A16" s="112"/>
      <c r="B16" s="114"/>
      <c r="C16" s="335" t="s">
        <v>141</v>
      </c>
      <c r="D16" s="703">
        <f>WACC!$AA$25</f>
        <v>5.0683007518796994E-2</v>
      </c>
      <c r="E16" s="692">
        <v>0</v>
      </c>
      <c r="F16" s="901" t="s">
        <v>241</v>
      </c>
      <c r="G16" s="901"/>
      <c r="H16" s="901"/>
      <c r="I16" s="901"/>
      <c r="J16" s="26"/>
      <c r="K16" s="26"/>
      <c r="L16" s="26"/>
      <c r="M16" s="704">
        <f>SUM(M17:M20)</f>
        <v>997.58192672847451</v>
      </c>
      <c r="O16" s="694">
        <f>WACC!$AA$25</f>
        <v>5.0683007518796994E-2</v>
      </c>
      <c r="P16" s="692">
        <v>0</v>
      </c>
      <c r="Q16" s="695" t="s">
        <v>241</v>
      </c>
      <c r="R16" s="25" t="str">
        <f>"NPV ("&amp;TEXT(O16,"0.0%")&amp;", "&amp;TEXT(Q17,"0")&amp;":"&amp;TEXT(Q20,"0")&amp;")"</f>
        <v>NPV (5.1%, 50:1050)</v>
      </c>
      <c r="S16" s="704">
        <f>NPV(O16,Q17:Q20)</f>
        <v>997.5819267284744</v>
      </c>
      <c r="U16" s="345" t="str">
        <f>"PV ("&amp;TEXT(O16,"0.0%")&amp;", "&amp;TEXT(P20,"0")&amp;", "&amp;TEXT(Q17,0)&amp;", "&amp;TEXT(Q20,"0")&amp;") * -1"</f>
        <v>PV (5.1%, 4, 50, 1050) * -1</v>
      </c>
      <c r="V16" s="704">
        <f>-PV(O16,P20,Q17,Q20-Q17)</f>
        <v>997.58192672847451</v>
      </c>
    </row>
    <row r="17" spans="1:22" s="62" customFormat="1" ht="13.8" x14ac:dyDescent="0.3">
      <c r="A17" s="112"/>
      <c r="C17" s="62" t="s">
        <v>139</v>
      </c>
      <c r="D17" s="691"/>
      <c r="E17" s="705">
        <v>1</v>
      </c>
      <c r="F17" s="901">
        <v>50</v>
      </c>
      <c r="G17" s="901"/>
      <c r="H17" s="901"/>
      <c r="I17" s="901"/>
      <c r="J17" s="905" t="str">
        <f>TEXT(F17,"0")&amp;"/"&amp;TEXT(1+$D$16,"0.000")&amp;" ^ "&amp;TEXT(E17,0)</f>
        <v>50/1.051 ^ 1</v>
      </c>
      <c r="K17" s="905"/>
      <c r="L17" s="905"/>
      <c r="M17" s="693">
        <f>F17/(1+D$16)^E17</f>
        <v>47.588092357252187</v>
      </c>
      <c r="O17" s="694"/>
      <c r="P17" s="705">
        <v>1</v>
      </c>
      <c r="Q17" s="695">
        <v>50</v>
      </c>
      <c r="R17" s="25"/>
      <c r="S17" s="693"/>
      <c r="U17" s="578"/>
      <c r="V17" s="696"/>
    </row>
    <row r="18" spans="1:22" s="62" customFormat="1" ht="13.8" x14ac:dyDescent="0.3">
      <c r="A18" s="112"/>
      <c r="D18" s="706"/>
      <c r="E18" s="705">
        <v>2</v>
      </c>
      <c r="F18" s="901">
        <v>50</v>
      </c>
      <c r="G18" s="901"/>
      <c r="H18" s="901"/>
      <c r="I18" s="901"/>
      <c r="J18" s="905" t="str">
        <f>TEXT(F18,"0")&amp;"/"&amp;TEXT(1+$D$16,"0.000")&amp;" ^ "&amp;TEXT(E18,0)</f>
        <v>50/1.051 ^ 2</v>
      </c>
      <c r="K18" s="905"/>
      <c r="L18" s="905"/>
      <c r="M18" s="693">
        <f>F18/(1+D$16)^E18</f>
        <v>45.292530684047271</v>
      </c>
      <c r="O18" s="694"/>
      <c r="P18" s="705">
        <v>2</v>
      </c>
      <c r="Q18" s="695">
        <v>50</v>
      </c>
      <c r="R18" s="25"/>
      <c r="S18" s="693"/>
      <c r="U18" s="578"/>
      <c r="V18" s="696"/>
    </row>
    <row r="19" spans="1:22" s="62" customFormat="1" ht="13.8" x14ac:dyDescent="0.3">
      <c r="A19" s="112"/>
      <c r="D19" s="691"/>
      <c r="E19" s="705">
        <v>3</v>
      </c>
      <c r="F19" s="901">
        <v>50</v>
      </c>
      <c r="G19" s="901"/>
      <c r="H19" s="901"/>
      <c r="I19" s="901"/>
      <c r="J19" s="905" t="str">
        <f>TEXT(F19,"0")&amp;"/"&amp;TEXT(1+$D$16,"0.000")&amp;" ^ "&amp;TEXT(E19,0)</f>
        <v>50/1.051 ^ 3</v>
      </c>
      <c r="K19" s="905"/>
      <c r="L19" s="905"/>
      <c r="M19" s="693">
        <f>F19/(1+D$16)^E19</f>
        <v>43.107702665722393</v>
      </c>
      <c r="O19" s="694"/>
      <c r="P19" s="705">
        <v>3</v>
      </c>
      <c r="Q19" s="695">
        <v>50</v>
      </c>
      <c r="R19" s="25"/>
      <c r="S19" s="693"/>
      <c r="U19" s="579"/>
      <c r="V19" s="696"/>
    </row>
    <row r="20" spans="1:22" s="62" customFormat="1" ht="13.8" x14ac:dyDescent="0.3">
      <c r="A20" s="112"/>
      <c r="C20" s="338"/>
      <c r="D20" s="697"/>
      <c r="E20" s="698">
        <v>4</v>
      </c>
      <c r="F20" s="902">
        <v>1050</v>
      </c>
      <c r="G20" s="902"/>
      <c r="H20" s="902"/>
      <c r="I20" s="902"/>
      <c r="J20" s="908" t="str">
        <f>TEXT(F20,"0")&amp;"/"&amp;TEXT(1+$D$16,"0.000")&amp;" ^ "&amp;TEXT(E20,0)</f>
        <v>1050/1.051 ^ 4</v>
      </c>
      <c r="K20" s="908"/>
      <c r="L20" s="908"/>
      <c r="M20" s="699">
        <f>F20/(1+$D$16)^E20</f>
        <v>861.59360102145263</v>
      </c>
      <c r="N20" s="114"/>
      <c r="O20" s="700"/>
      <c r="P20" s="707">
        <v>4</v>
      </c>
      <c r="Q20" s="701">
        <v>1050</v>
      </c>
      <c r="R20" s="134"/>
      <c r="S20" s="699"/>
      <c r="T20" s="114"/>
      <c r="U20" s="133"/>
      <c r="V20" s="708"/>
    </row>
    <row r="21" spans="1:22" s="62" customFormat="1" ht="13.8" x14ac:dyDescent="0.3">
      <c r="A21" s="112"/>
      <c r="C21" s="335" t="s">
        <v>143</v>
      </c>
      <c r="D21" s="703">
        <f>WACC!$AA$25</f>
        <v>5.0683007518796994E-2</v>
      </c>
      <c r="E21" s="692">
        <v>0</v>
      </c>
      <c r="F21" s="901" t="s">
        <v>241</v>
      </c>
      <c r="G21" s="901"/>
      <c r="H21" s="901"/>
      <c r="I21" s="901"/>
      <c r="J21" s="26"/>
      <c r="K21" s="26"/>
      <c r="L21" s="580"/>
      <c r="M21" s="704">
        <f>SUM(M22:M25)</f>
        <v>732.05703809498073</v>
      </c>
      <c r="O21" s="694">
        <f>WACC!$AA$25</f>
        <v>5.0683007518796994E-2</v>
      </c>
      <c r="P21" s="692">
        <v>0</v>
      </c>
      <c r="Q21" s="695" t="s">
        <v>241</v>
      </c>
      <c r="R21" s="25" t="str">
        <f>"NPV ("&amp;TEXT(O21,"0.0%")&amp;", "&amp;TEXT(Q22,"0")&amp;":"&amp;TEXT(Q25,"0")&amp;")"</f>
        <v>NPV (5.1%, -25:975)</v>
      </c>
      <c r="S21" s="704">
        <f>NPV(O21,Q22:Q25)</f>
        <v>732.05703809498084</v>
      </c>
      <c r="U21" s="345" t="str">
        <f>"PV ("&amp;TEXT(O21,"0.0%")&amp;", "&amp;TEXT(P25,"0")&amp;", "&amp;TEXT(Q22,0)&amp;", "&amp;TEXT(Q25,"0")&amp;") * -1"</f>
        <v>PV (5.1%, 4, -25, 975) * -1</v>
      </c>
      <c r="V21" s="704">
        <f>-PV(O21,P25,Q22,Q25-Q22)</f>
        <v>732.05703809498073</v>
      </c>
    </row>
    <row r="22" spans="1:22" s="62" customFormat="1" ht="13.8" x14ac:dyDescent="0.3">
      <c r="A22" s="112"/>
      <c r="C22" s="62" t="s">
        <v>147</v>
      </c>
      <c r="D22" s="703"/>
      <c r="E22" s="705">
        <v>1</v>
      </c>
      <c r="F22" s="901">
        <v>-25</v>
      </c>
      <c r="G22" s="901"/>
      <c r="H22" s="901"/>
      <c r="I22" s="901"/>
      <c r="J22" s="905" t="str">
        <f>TEXT(F22,"0")&amp;"/"&amp;TEXT(1+$D$21,"0.000")&amp;" ^ "&amp;TEXT(E22,0)</f>
        <v>-25/1.051 ^ 1</v>
      </c>
      <c r="K22" s="905"/>
      <c r="L22" s="905"/>
      <c r="M22" s="693">
        <f>F22/(1+D$21)^E22</f>
        <v>-23.794046178626093</v>
      </c>
      <c r="O22" s="694"/>
      <c r="P22" s="705">
        <v>1</v>
      </c>
      <c r="Q22" s="695">
        <v>-25</v>
      </c>
      <c r="R22" s="25"/>
      <c r="S22" s="693"/>
      <c r="U22" s="578"/>
      <c r="V22" s="696"/>
    </row>
    <row r="23" spans="1:22" s="62" customFormat="1" ht="13.8" x14ac:dyDescent="0.3">
      <c r="A23" s="112"/>
      <c r="D23" s="703"/>
      <c r="E23" s="705">
        <v>2</v>
      </c>
      <c r="F23" s="901">
        <v>-25</v>
      </c>
      <c r="G23" s="901"/>
      <c r="H23" s="901"/>
      <c r="I23" s="901"/>
      <c r="J23" s="905" t="str">
        <f>TEXT(F23,"0")&amp;"/"&amp;TEXT(1+$D$21,"0.000")&amp;" ^ "&amp;TEXT(E23,0)</f>
        <v>-25/1.051 ^ 2</v>
      </c>
      <c r="K23" s="905"/>
      <c r="L23" s="905"/>
      <c r="M23" s="693">
        <f>F23/(1+D$21)^E23</f>
        <v>-22.646265342023636</v>
      </c>
      <c r="O23" s="694"/>
      <c r="P23" s="705">
        <v>2</v>
      </c>
      <c r="Q23" s="695">
        <v>-25</v>
      </c>
      <c r="R23" s="25"/>
      <c r="S23" s="693"/>
      <c r="U23" s="578"/>
      <c r="V23" s="696"/>
    </row>
    <row r="24" spans="1:22" s="62" customFormat="1" ht="13.8" x14ac:dyDescent="0.3">
      <c r="A24" s="112"/>
      <c r="D24" s="703"/>
      <c r="E24" s="705">
        <v>3</v>
      </c>
      <c r="F24" s="901">
        <v>-25</v>
      </c>
      <c r="G24" s="901"/>
      <c r="H24" s="901"/>
      <c r="I24" s="901"/>
      <c r="J24" s="905" t="str">
        <f>TEXT(F24,"0")&amp;"/"&amp;TEXT(1+$D$21,"0.000")&amp;" ^ "&amp;TEXT(E24,0)</f>
        <v>-25/1.051 ^ 3</v>
      </c>
      <c r="K24" s="905"/>
      <c r="L24" s="905"/>
      <c r="M24" s="693">
        <f>F24/(1+D$21)^E24</f>
        <v>-21.553851332861196</v>
      </c>
      <c r="O24" s="694"/>
      <c r="P24" s="705">
        <v>3</v>
      </c>
      <c r="Q24" s="695">
        <v>-25</v>
      </c>
      <c r="R24" s="25"/>
      <c r="S24" s="693"/>
      <c r="U24" s="578"/>
      <c r="V24" s="696"/>
    </row>
    <row r="25" spans="1:22" s="62" customFormat="1" ht="13.8" x14ac:dyDescent="0.3">
      <c r="A25" s="112"/>
      <c r="D25" s="709"/>
      <c r="E25" s="710">
        <v>4</v>
      </c>
      <c r="F25" s="900">
        <v>975</v>
      </c>
      <c r="G25" s="900"/>
      <c r="H25" s="900"/>
      <c r="I25" s="900"/>
      <c r="J25" s="907" t="str">
        <f>TEXT(F25,"0")&amp;"/"&amp;TEXT(1+$D$21,"0.000")&amp;" ^ "&amp;TEXT(E25,0)</f>
        <v>975/1.051 ^ 4</v>
      </c>
      <c r="K25" s="907"/>
      <c r="L25" s="907"/>
      <c r="M25" s="711">
        <f>F25/(1+D$21)^E25</f>
        <v>800.05120094849167</v>
      </c>
      <c r="N25" s="114"/>
      <c r="O25" s="712"/>
      <c r="P25" s="710">
        <v>4</v>
      </c>
      <c r="Q25" s="713">
        <v>975</v>
      </c>
      <c r="R25" s="581"/>
      <c r="S25" s="711"/>
      <c r="T25" s="114"/>
      <c r="U25" s="582"/>
      <c r="V25" s="714"/>
    </row>
    <row r="26" spans="1:22" x14ac:dyDescent="0.3">
      <c r="O26" s="339"/>
    </row>
    <row r="27" spans="1:22" x14ac:dyDescent="0.3">
      <c r="I27" s="316"/>
      <c r="J27" s="316"/>
      <c r="K27" s="316"/>
      <c r="L27" s="316"/>
      <c r="M27" s="316"/>
      <c r="Q27" s="316"/>
      <c r="R27" s="316"/>
    </row>
    <row r="28" spans="1:22" s="340" customFormat="1" x14ac:dyDescent="0.3">
      <c r="A28" s="84"/>
      <c r="S28" s="341"/>
    </row>
    <row r="29" spans="1:22" x14ac:dyDescent="0.3">
      <c r="I29" s="316"/>
      <c r="J29" s="316"/>
      <c r="K29" s="316"/>
      <c r="L29" s="316"/>
      <c r="M29" s="316"/>
      <c r="Q29" s="316"/>
      <c r="R29" s="316"/>
    </row>
    <row r="30" spans="1:22" x14ac:dyDescent="0.3">
      <c r="I30" s="316"/>
      <c r="J30" s="316"/>
      <c r="K30" s="316"/>
      <c r="L30" s="316"/>
      <c r="M30" s="316"/>
      <c r="Q30" s="316"/>
      <c r="R30" s="316"/>
    </row>
    <row r="31" spans="1:22" x14ac:dyDescent="0.3">
      <c r="I31" s="316"/>
      <c r="J31" s="316"/>
      <c r="K31" s="316"/>
      <c r="L31" s="316"/>
      <c r="M31" s="316"/>
      <c r="Q31" s="316"/>
      <c r="R31" s="316"/>
    </row>
    <row r="32" spans="1:22" x14ac:dyDescent="0.3">
      <c r="I32" s="316"/>
      <c r="J32" s="316"/>
      <c r="K32" s="316"/>
      <c r="L32" s="316"/>
      <c r="M32" s="316"/>
      <c r="Q32" s="316"/>
      <c r="R32" s="316"/>
    </row>
    <row r="33" spans="9:18" x14ac:dyDescent="0.3">
      <c r="I33" s="316"/>
      <c r="J33" s="316"/>
      <c r="K33" s="316"/>
      <c r="L33" s="316"/>
      <c r="M33" s="316"/>
      <c r="Q33" s="316"/>
      <c r="R33" s="316"/>
    </row>
  </sheetData>
  <sheetProtection algorithmName="SHA-512" hashValue="dDMCN3wCQzaJ3eoXkIEQjiNiUZjeBtz5S41acaBZrQp2TVVbAiqIM1ouMUYuEcPlc34d9q0BA/ApB5v47wJfKA==" saltValue="EfOdlS8xhK9UhT6T2jA8tA==" spinCount="100000" sheet="1" objects="1" scenarios="1" selectLockedCells="1" selectUnlockedCells="1"/>
  <mergeCells count="32">
    <mergeCell ref="D7:F8"/>
    <mergeCell ref="J7:K7"/>
    <mergeCell ref="J8:K8"/>
    <mergeCell ref="G7:G8"/>
    <mergeCell ref="H8:I8"/>
    <mergeCell ref="H7:I7"/>
    <mergeCell ref="J25:L25"/>
    <mergeCell ref="J15:L15"/>
    <mergeCell ref="J17:L17"/>
    <mergeCell ref="J18:L18"/>
    <mergeCell ref="J19:L19"/>
    <mergeCell ref="J20:L20"/>
    <mergeCell ref="J22:L22"/>
    <mergeCell ref="J10:L10"/>
    <mergeCell ref="F11:I11"/>
    <mergeCell ref="F12:I12"/>
    <mergeCell ref="J23:L23"/>
    <mergeCell ref="J24:L24"/>
    <mergeCell ref="F19:I19"/>
    <mergeCell ref="G10:I10"/>
    <mergeCell ref="F20:I20"/>
    <mergeCell ref="F13:I13"/>
    <mergeCell ref="F25:I25"/>
    <mergeCell ref="F14:I14"/>
    <mergeCell ref="F15:I15"/>
    <mergeCell ref="F16:I16"/>
    <mergeCell ref="F17:I17"/>
    <mergeCell ref="F18:I18"/>
    <mergeCell ref="F21:I21"/>
    <mergeCell ref="F22:I22"/>
    <mergeCell ref="F23:I23"/>
    <mergeCell ref="F24:I24"/>
  </mergeCells>
  <printOptions horizontalCentered="1"/>
  <pageMargins left="0.5" right="0.5" top="0.75" bottom="0.5" header="0.5" footer="0.5"/>
  <pageSetup orientation="landscape" r:id="rId1"/>
  <headerFooter scaleWithDoc="0" alignWithMargins="0">
    <oddFooter>&amp;LPresent Value&amp;RPage &amp;P of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2318F-4DA4-42BB-A51E-44D574CD40BD}">
  <sheetPr>
    <tabColor rgb="FFF0D3D2"/>
    <pageSetUpPr fitToPage="1"/>
  </sheetPr>
  <dimension ref="A1:Y32"/>
  <sheetViews>
    <sheetView showGridLines="0" showRowColHeaders="0" zoomScaleNormal="100" zoomScaleSheetLayoutView="75" workbookViewId="0"/>
  </sheetViews>
  <sheetFormatPr defaultColWidth="9.21875" defaultRowHeight="14.4" x14ac:dyDescent="0.3"/>
  <cols>
    <col min="1" max="1" width="3.109375" style="84" customWidth="1"/>
    <col min="2" max="2" width="5.5546875" style="316" customWidth="1"/>
    <col min="3" max="3" width="25" style="316" customWidth="1"/>
    <col min="4" max="4" width="5.6640625" style="316" customWidth="1"/>
    <col min="5" max="5" width="3.109375" style="316" customWidth="1"/>
    <col min="6" max="6" width="1.21875" style="316" customWidth="1"/>
    <col min="7" max="7" width="3.109375" style="316" customWidth="1"/>
    <col min="8" max="8" width="1.77734375" style="316" customWidth="1"/>
    <col min="9" max="9" width="2.109375" style="339" customWidth="1"/>
    <col min="10" max="10" width="2.21875" style="339" customWidth="1"/>
    <col min="11" max="11" width="6.88671875" style="339" customWidth="1"/>
    <col min="12" max="12" width="5.77734375" style="339" customWidth="1"/>
    <col min="13" max="13" width="6.77734375" style="317" bestFit="1" customWidth="1"/>
    <col min="14" max="14" width="1.6640625" style="316" customWidth="1"/>
    <col min="15" max="15" width="21.21875" style="316" customWidth="1"/>
    <col min="16" max="16" width="6.77734375" style="316" bestFit="1" customWidth="1"/>
    <col min="17" max="16384" width="9.21875" style="316"/>
  </cols>
  <sheetData>
    <row r="1" spans="1:25" s="70" customFormat="1" ht="8.4" customHeight="1" x14ac:dyDescent="0.2">
      <c r="A1" s="69" t="s">
        <v>60</v>
      </c>
      <c r="E1" s="71"/>
      <c r="H1" s="170"/>
      <c r="W1" s="72"/>
    </row>
    <row r="2" spans="1:25" s="75" customFormat="1" ht="23.4" x14ac:dyDescent="0.45">
      <c r="A2" s="73"/>
      <c r="C2" s="74" t="s">
        <v>46</v>
      </c>
      <c r="D2" s="74"/>
      <c r="E2" s="74"/>
      <c r="F2" s="74"/>
      <c r="I2" s="76"/>
      <c r="J2" s="76"/>
      <c r="K2" s="76"/>
      <c r="L2" s="76"/>
      <c r="M2" s="310"/>
    </row>
    <row r="3" spans="1:25" s="80" customFormat="1" ht="18" x14ac:dyDescent="0.35">
      <c r="A3" s="78"/>
      <c r="C3" s="79" t="s">
        <v>130</v>
      </c>
      <c r="D3" s="311"/>
      <c r="E3" s="311"/>
      <c r="F3" s="311"/>
      <c r="I3" s="81"/>
      <c r="J3" s="81"/>
      <c r="K3" s="81"/>
      <c r="M3" s="312"/>
    </row>
    <row r="4" spans="1:25" s="88" customFormat="1" x14ac:dyDescent="0.3">
      <c r="A4" s="84"/>
      <c r="C4" s="85"/>
      <c r="D4" s="85"/>
      <c r="E4" s="85"/>
      <c r="F4" s="85"/>
      <c r="G4" s="86"/>
      <c r="H4" s="86"/>
      <c r="I4" s="87"/>
      <c r="J4" s="86"/>
      <c r="K4" s="86"/>
      <c r="L4" s="86"/>
      <c r="M4" s="90"/>
      <c r="N4" s="86"/>
    </row>
    <row r="5" spans="1:25" s="88" customFormat="1" ht="15.6" x14ac:dyDescent="0.3">
      <c r="A5" s="84"/>
      <c r="C5" s="86" t="s">
        <v>232</v>
      </c>
      <c r="D5" s="86"/>
      <c r="E5" s="86"/>
      <c r="F5" s="86"/>
      <c r="G5" s="86"/>
      <c r="H5" s="86"/>
      <c r="I5" s="86"/>
      <c r="J5" s="86"/>
      <c r="K5" s="86"/>
      <c r="L5" s="86"/>
      <c r="M5" s="185"/>
      <c r="N5" s="86"/>
      <c r="O5" s="86"/>
      <c r="P5" s="86"/>
      <c r="S5" s="90"/>
      <c r="V5" s="91"/>
      <c r="W5" s="91"/>
      <c r="X5" s="91"/>
      <c r="Y5" s="91"/>
    </row>
    <row r="6" spans="1:25" s="88" customFormat="1" ht="9.6" customHeight="1" x14ac:dyDescent="0.3">
      <c r="A6" s="84"/>
      <c r="G6" s="92"/>
      <c r="I6" s="93"/>
      <c r="J6" s="94"/>
      <c r="K6" s="93"/>
      <c r="O6" s="91"/>
      <c r="Q6" s="94"/>
      <c r="R6" s="93"/>
      <c r="U6" s="91"/>
      <c r="V6" s="86"/>
      <c r="W6" s="234"/>
    </row>
    <row r="7" spans="1:25" x14ac:dyDescent="0.3">
      <c r="C7" s="111" t="s">
        <v>138</v>
      </c>
      <c r="D7" s="909" t="s">
        <v>186</v>
      </c>
      <c r="E7" s="909"/>
      <c r="F7" s="909"/>
      <c r="G7" s="912" t="s">
        <v>70</v>
      </c>
      <c r="H7" s="914" t="s">
        <v>80</v>
      </c>
      <c r="I7" s="914"/>
      <c r="J7" s="910" t="s">
        <v>96</v>
      </c>
      <c r="K7" s="910"/>
      <c r="L7" s="66"/>
      <c r="O7" s="318" t="s">
        <v>317</v>
      </c>
    </row>
    <row r="8" spans="1:25" x14ac:dyDescent="0.3">
      <c r="C8" s="111" t="s">
        <v>160</v>
      </c>
      <c r="D8" s="909"/>
      <c r="E8" s="909"/>
      <c r="F8" s="909"/>
      <c r="G8" s="912"/>
      <c r="H8" s="913" t="s">
        <v>71</v>
      </c>
      <c r="I8" s="913"/>
      <c r="J8" s="911" t="s">
        <v>250</v>
      </c>
      <c r="K8" s="911"/>
      <c r="L8" s="321"/>
      <c r="O8" s="346" t="s">
        <v>212</v>
      </c>
    </row>
    <row r="9" spans="1:25" s="88" customFormat="1" ht="9.6" customHeight="1" x14ac:dyDescent="0.3">
      <c r="A9" s="84"/>
      <c r="G9" s="92"/>
      <c r="I9" s="93"/>
      <c r="J9" s="94"/>
      <c r="K9" s="93"/>
      <c r="O9" s="91"/>
      <c r="Q9" s="94"/>
      <c r="R9" s="93"/>
      <c r="U9" s="91"/>
      <c r="V9" s="86"/>
      <c r="W9" s="234"/>
    </row>
    <row r="10" spans="1:25" s="351" customFormat="1" ht="15" customHeight="1" x14ac:dyDescent="0.3">
      <c r="A10" s="104"/>
      <c r="B10" s="106"/>
      <c r="C10" s="106"/>
      <c r="D10" s="347" t="s">
        <v>6</v>
      </c>
      <c r="E10" s="348" t="s">
        <v>72</v>
      </c>
      <c r="F10" s="348"/>
      <c r="G10" s="920" t="s">
        <v>21</v>
      </c>
      <c r="H10" s="920"/>
      <c r="I10" s="920"/>
      <c r="J10" s="921" t="s">
        <v>69</v>
      </c>
      <c r="K10" s="921"/>
      <c r="L10" s="921"/>
      <c r="M10" s="349" t="s">
        <v>92</v>
      </c>
      <c r="N10" s="350"/>
      <c r="O10" s="349" t="s">
        <v>69</v>
      </c>
      <c r="P10" s="349" t="s">
        <v>92</v>
      </c>
      <c r="Q10" s="106"/>
      <c r="R10" s="106"/>
    </row>
    <row r="11" spans="1:25" s="62" customFormat="1" ht="13.8" x14ac:dyDescent="0.3">
      <c r="A11" s="112"/>
      <c r="B11" s="334"/>
      <c r="C11" s="335" t="s">
        <v>142</v>
      </c>
      <c r="D11" s="686">
        <f>WACC!$AA$25</f>
        <v>5.0683007518796994E-2</v>
      </c>
      <c r="E11" s="687">
        <v>0</v>
      </c>
      <c r="F11" s="904">
        <v>-1000</v>
      </c>
      <c r="G11" s="904"/>
      <c r="H11" s="904"/>
      <c r="I11" s="904"/>
      <c r="J11" s="916" t="str">
        <f>TEXT(-F11,"0")&amp;" * "&amp;TEXT(1+$D$11,"0.000")&amp;" ^ "&amp;TEXT(E15,0)</f>
        <v>1000 * 1.051 ^ 4</v>
      </c>
      <c r="K11" s="916"/>
      <c r="L11" s="916"/>
      <c r="M11" s="688"/>
      <c r="O11" s="354" t="str">
        <f>"FV ("&amp;TEXT(D11,"0.0%")&amp;", "&amp;TEXT(E15,"0")&amp;", "&amp;TEXT(F12,0)&amp;", "&amp;TEXT(F11,"0")&amp;")"</f>
        <v>FV (5.1%, 4, 0, -1000)</v>
      </c>
      <c r="P11" s="688">
        <f>FV(D11,E15,F12,F11)</f>
        <v>1218.6720035468977</v>
      </c>
    </row>
    <row r="12" spans="1:25" s="62" customFormat="1" ht="13.8" x14ac:dyDescent="0.3">
      <c r="A12" s="112"/>
      <c r="C12" s="62" t="s">
        <v>145</v>
      </c>
      <c r="D12" s="691"/>
      <c r="E12" s="692">
        <v>1</v>
      </c>
      <c r="F12" s="901">
        <v>0</v>
      </c>
      <c r="G12" s="901"/>
      <c r="H12" s="901"/>
      <c r="I12" s="901"/>
      <c r="J12" s="26"/>
      <c r="K12" s="26"/>
      <c r="L12" s="26"/>
      <c r="M12" s="693"/>
      <c r="O12" s="578"/>
      <c r="P12" s="715"/>
    </row>
    <row r="13" spans="1:25" s="62" customFormat="1" ht="13.8" x14ac:dyDescent="0.3">
      <c r="A13" s="112"/>
      <c r="D13" s="691"/>
      <c r="E13" s="692">
        <v>2</v>
      </c>
      <c r="F13" s="901">
        <v>0</v>
      </c>
      <c r="G13" s="901"/>
      <c r="H13" s="901"/>
      <c r="I13" s="901"/>
      <c r="J13" s="26"/>
      <c r="K13" s="26"/>
      <c r="L13" s="26"/>
      <c r="M13" s="693"/>
      <c r="O13" s="578"/>
      <c r="P13" s="696"/>
    </row>
    <row r="14" spans="1:25" s="337" customFormat="1" ht="13.8" x14ac:dyDescent="0.3">
      <c r="A14" s="336"/>
      <c r="D14" s="691"/>
      <c r="E14" s="692">
        <v>3</v>
      </c>
      <c r="F14" s="901">
        <v>0</v>
      </c>
      <c r="G14" s="901"/>
      <c r="H14" s="901"/>
      <c r="I14" s="901"/>
      <c r="J14" s="26"/>
      <c r="K14" s="26"/>
      <c r="L14" s="26"/>
      <c r="M14" s="693"/>
      <c r="N14" s="62"/>
      <c r="O14" s="579"/>
      <c r="P14" s="716"/>
    </row>
    <row r="15" spans="1:25" s="114" customFormat="1" ht="13.8" x14ac:dyDescent="0.3">
      <c r="A15" s="112"/>
      <c r="C15" s="144"/>
      <c r="D15" s="697"/>
      <c r="E15" s="698">
        <v>4</v>
      </c>
      <c r="F15" s="902" t="s">
        <v>241</v>
      </c>
      <c r="G15" s="919"/>
      <c r="H15" s="919"/>
      <c r="I15" s="919"/>
      <c r="J15" s="908"/>
      <c r="K15" s="908"/>
      <c r="L15" s="908"/>
      <c r="M15" s="717">
        <f>-F11*(1+D$11)^E15</f>
        <v>1218.6720035468977</v>
      </c>
      <c r="O15" s="133"/>
      <c r="P15" s="718"/>
    </row>
    <row r="16" spans="1:25" s="62" customFormat="1" ht="13.8" x14ac:dyDescent="0.3">
      <c r="A16" s="112"/>
      <c r="C16" s="335" t="s">
        <v>141</v>
      </c>
      <c r="D16" s="703">
        <f>WACC!$AA$25</f>
        <v>5.0683007518796994E-2</v>
      </c>
      <c r="E16" s="692">
        <v>0</v>
      </c>
      <c r="F16" s="901">
        <v>-1000</v>
      </c>
      <c r="G16" s="901"/>
      <c r="H16" s="901"/>
      <c r="I16" s="901"/>
      <c r="J16" s="915" t="str">
        <f>TEXT(-F16,"0")&amp;" * "&amp;TEXT(1+$D$16,"0.000")&amp;" ^ "&amp;TEXT(E20,0)</f>
        <v>1000 * 1.051 ^ 4</v>
      </c>
      <c r="K16" s="915"/>
      <c r="L16" s="915"/>
      <c r="M16" s="719">
        <f>-F16*(1+D$16)^E20</f>
        <v>1218.6720035468977</v>
      </c>
      <c r="O16" s="355" t="str">
        <f>"FV ("&amp;TEXT(D16,"0.0%")&amp;", "&amp;TEXT(E20,"0")&amp;", "&amp;TEXT(F17,0)&amp;", "&amp;TEXT(F16,"0")&amp;")"</f>
        <v>FV (5.1%, 4, 50, -1000)</v>
      </c>
      <c r="P16" s="720">
        <f>FV(D16,E20,-F17,F16)</f>
        <v>1434.3971688952622</v>
      </c>
    </row>
    <row r="17" spans="1:19" s="62" customFormat="1" ht="13.8" x14ac:dyDescent="0.3">
      <c r="A17" s="112"/>
      <c r="C17" s="62" t="s">
        <v>140</v>
      </c>
      <c r="D17" s="691"/>
      <c r="E17" s="705">
        <v>1</v>
      </c>
      <c r="F17" s="901">
        <v>50</v>
      </c>
      <c r="G17" s="901"/>
      <c r="H17" s="901"/>
      <c r="I17" s="901"/>
      <c r="J17" s="918" t="str">
        <f>TEXT(-F17,"0")&amp;" * "&amp;TEXT(1+$D$16,"0.000")&amp;" ^ "&amp;TEXT(E19,0)</f>
        <v>-50 * 1.051 ^ 3</v>
      </c>
      <c r="K17" s="918"/>
      <c r="L17" s="918"/>
      <c r="M17" s="693">
        <f>F17*(1+D$16)^E19</f>
        <v>57.994275857987319</v>
      </c>
      <c r="O17" s="578"/>
      <c r="P17" s="715"/>
    </row>
    <row r="18" spans="1:19" s="62" customFormat="1" ht="13.8" x14ac:dyDescent="0.3">
      <c r="A18" s="112"/>
      <c r="D18" s="706"/>
      <c r="E18" s="705">
        <v>2</v>
      </c>
      <c r="F18" s="901">
        <v>50</v>
      </c>
      <c r="G18" s="901"/>
      <c r="H18" s="901"/>
      <c r="I18" s="901"/>
      <c r="J18" s="918" t="str">
        <f>TEXT(-F18,"0")&amp;" * "&amp;TEXT(1+$D$16,"0.000")&amp;" ^ "&amp;TEXT(E18,0)</f>
        <v>-50 * 1.051 ^ 2</v>
      </c>
      <c r="K18" s="918"/>
      <c r="L18" s="918"/>
      <c r="M18" s="693">
        <f>F18*(1+D$16)^E18</f>
        <v>55.196739114437221</v>
      </c>
      <c r="O18" s="578"/>
      <c r="P18" s="716"/>
    </row>
    <row r="19" spans="1:19" s="62" customFormat="1" ht="13.8" x14ac:dyDescent="0.3">
      <c r="A19" s="112"/>
      <c r="D19" s="691"/>
      <c r="E19" s="705">
        <v>3</v>
      </c>
      <c r="F19" s="901">
        <v>50</v>
      </c>
      <c r="G19" s="901"/>
      <c r="H19" s="901"/>
      <c r="I19" s="901"/>
      <c r="J19" s="918" t="str">
        <f>TEXT(-F17,"0")&amp;" * "&amp;TEXT(1+$D$16,"0.000")&amp;" ^ "&amp;TEXT(E17,0)</f>
        <v>-50 * 1.051 ^ 1</v>
      </c>
      <c r="K19" s="918"/>
      <c r="L19" s="918"/>
      <c r="M19" s="693">
        <f>F19*(1+D$16)^E17</f>
        <v>52.534150375939845</v>
      </c>
      <c r="O19" s="579"/>
      <c r="P19" s="716"/>
    </row>
    <row r="20" spans="1:19" s="62" customFormat="1" ht="13.8" x14ac:dyDescent="0.3">
      <c r="A20" s="112"/>
      <c r="D20" s="721"/>
      <c r="E20" s="692">
        <v>4</v>
      </c>
      <c r="F20" s="901">
        <v>50</v>
      </c>
      <c r="G20" s="901"/>
      <c r="H20" s="901"/>
      <c r="I20" s="901"/>
      <c r="J20" s="918" t="str">
        <f>TEXT(-F20,"0")&amp;" * "&amp;TEXT(1+$D$16,"0.000")&amp;" ^ "&amp;TEXT(E16,0)</f>
        <v>-50 * 1.051 ^ 0</v>
      </c>
      <c r="K20" s="918"/>
      <c r="L20" s="918"/>
      <c r="M20" s="693">
        <f>F20*(1+D$16)^E16</f>
        <v>50</v>
      </c>
      <c r="O20" s="578"/>
      <c r="P20" s="716"/>
    </row>
    <row r="21" spans="1:19" s="62" customFormat="1" ht="13.8" x14ac:dyDescent="0.3">
      <c r="A21" s="112"/>
      <c r="D21" s="722"/>
      <c r="E21" s="583"/>
      <c r="F21" s="902" t="s">
        <v>241</v>
      </c>
      <c r="G21" s="902"/>
      <c r="H21" s="902"/>
      <c r="I21" s="902"/>
      <c r="J21" s="583"/>
      <c r="K21" s="583"/>
      <c r="L21" s="583"/>
      <c r="M21" s="717">
        <f>SUM(M16:M20)</f>
        <v>1434.397168895262</v>
      </c>
      <c r="N21" s="114"/>
      <c r="O21" s="584"/>
      <c r="P21" s="718"/>
    </row>
    <row r="22" spans="1:19" s="62" customFormat="1" ht="13.8" x14ac:dyDescent="0.3">
      <c r="A22" s="112"/>
      <c r="C22" s="335" t="s">
        <v>143</v>
      </c>
      <c r="D22" s="703">
        <f>WACC!$AA$25</f>
        <v>5.0683007518796994E-2</v>
      </c>
      <c r="E22" s="692">
        <v>0</v>
      </c>
      <c r="F22" s="901">
        <v>-1000</v>
      </c>
      <c r="G22" s="901"/>
      <c r="H22" s="901"/>
      <c r="I22" s="901"/>
      <c r="J22" s="917" t="str">
        <f>TEXT(-F22,"0")&amp;" * "&amp;TEXT(1+$D$22,"0.000")&amp;" ^ "&amp;TEXT(E26,0)</f>
        <v>1000 * 1.051 ^ 4</v>
      </c>
      <c r="K22" s="917"/>
      <c r="L22" s="917"/>
      <c r="M22" s="719">
        <f>-F22*(1+D$22)^E26</f>
        <v>1218.6720035468977</v>
      </c>
      <c r="O22" s="355" t="str">
        <f>"FV ("&amp;TEXT(D22,"0.0%")&amp;", "&amp;TEXT(E26,"0")&amp;", "&amp;TEXT(F23,0)&amp;", "&amp;TEXT(F22,"0")&amp;")"</f>
        <v>FV (5.1%, 4, -25, -1000)</v>
      </c>
      <c r="P22" s="720">
        <f>FV(D22,E26,-F23,F22)</f>
        <v>1110.8094208727155</v>
      </c>
    </row>
    <row r="23" spans="1:19" s="62" customFormat="1" ht="13.8" x14ac:dyDescent="0.3">
      <c r="A23" s="112"/>
      <c r="C23" s="62" t="s">
        <v>147</v>
      </c>
      <c r="D23" s="703"/>
      <c r="E23" s="705">
        <v>1</v>
      </c>
      <c r="F23" s="901">
        <v>-25</v>
      </c>
      <c r="G23" s="901"/>
      <c r="H23" s="901"/>
      <c r="I23" s="901"/>
      <c r="J23" s="905" t="str">
        <f>TEXT(F23,"0")&amp;" * "&amp;TEXT(1+$D$22,"0.000")&amp;" ^ "&amp;TEXT(E25,0)</f>
        <v>-25 * 1.051 ^ 3</v>
      </c>
      <c r="K23" s="905"/>
      <c r="L23" s="905"/>
      <c r="M23" s="693">
        <f>F23*(1+$D$22)^E25</f>
        <v>-28.997137928993659</v>
      </c>
      <c r="O23" s="578"/>
      <c r="P23" s="696"/>
      <c r="S23" s="62" t="s">
        <v>204</v>
      </c>
    </row>
    <row r="24" spans="1:19" s="62" customFormat="1" ht="13.8" x14ac:dyDescent="0.3">
      <c r="A24" s="112"/>
      <c r="C24" s="352"/>
      <c r="D24" s="703"/>
      <c r="E24" s="705">
        <v>2</v>
      </c>
      <c r="F24" s="901">
        <v>-25</v>
      </c>
      <c r="G24" s="901"/>
      <c r="H24" s="901"/>
      <c r="I24" s="901"/>
      <c r="J24" s="905" t="str">
        <f>TEXT(F24,"0")&amp;" * "&amp;TEXT(1+$D$22,"0.000")&amp;" ^ "&amp;TEXT(E24,0)</f>
        <v>-25 * 1.051 ^ 2</v>
      </c>
      <c r="K24" s="905"/>
      <c r="L24" s="905"/>
      <c r="M24" s="693">
        <f>F24*(1+$D$22)^E24</f>
        <v>-27.598369557218611</v>
      </c>
      <c r="O24" s="578"/>
      <c r="P24" s="715"/>
    </row>
    <row r="25" spans="1:19" s="62" customFormat="1" ht="13.8" x14ac:dyDescent="0.3">
      <c r="A25" s="112"/>
      <c r="D25" s="703"/>
      <c r="E25" s="705">
        <v>3</v>
      </c>
      <c r="F25" s="901">
        <v>-25</v>
      </c>
      <c r="G25" s="901"/>
      <c r="H25" s="901"/>
      <c r="I25" s="901"/>
      <c r="J25" s="905" t="str">
        <f>TEXT(F25,"0")&amp;" * "&amp;TEXT(1+$D$22,"0.000")&amp;" ^ "&amp;TEXT(E23,0)</f>
        <v>-25 * 1.051 ^ 1</v>
      </c>
      <c r="K25" s="905"/>
      <c r="L25" s="905"/>
      <c r="M25" s="693">
        <f>F25*(1+$D$22)^E23</f>
        <v>-26.267075187969922</v>
      </c>
      <c r="O25" s="579"/>
      <c r="P25" s="716"/>
    </row>
    <row r="26" spans="1:19" s="62" customFormat="1" ht="13.8" x14ac:dyDescent="0.3">
      <c r="A26" s="112"/>
      <c r="D26" s="721"/>
      <c r="E26" s="692">
        <v>4</v>
      </c>
      <c r="F26" s="901">
        <v>-25</v>
      </c>
      <c r="G26" s="901"/>
      <c r="H26" s="901"/>
      <c r="I26" s="901"/>
      <c r="J26" s="905" t="str">
        <f>TEXT(F26,"0")&amp;" * "&amp;TEXT(1+$D$22,"0.000")&amp;" ^ "&amp;TEXT(E22,0)</f>
        <v>-25 * 1.051 ^ 0</v>
      </c>
      <c r="K26" s="905"/>
      <c r="L26" s="905"/>
      <c r="M26" s="693">
        <f>F26*(1+$D$22)^E22</f>
        <v>-25</v>
      </c>
      <c r="O26" s="578"/>
      <c r="P26" s="716"/>
    </row>
    <row r="27" spans="1:19" s="114" customFormat="1" ht="13.8" x14ac:dyDescent="0.3">
      <c r="A27" s="112"/>
      <c r="C27" s="62"/>
      <c r="D27" s="723"/>
      <c r="E27" s="143"/>
      <c r="F27" s="900" t="s">
        <v>241</v>
      </c>
      <c r="G27" s="900"/>
      <c r="H27" s="900"/>
      <c r="I27" s="900"/>
      <c r="J27" s="342"/>
      <c r="K27" s="143"/>
      <c r="L27" s="143"/>
      <c r="M27" s="724">
        <f>SUM(M22:M26)</f>
        <v>1110.8094208727155</v>
      </c>
      <c r="O27" s="585"/>
      <c r="P27" s="725"/>
      <c r="Q27" s="62"/>
    </row>
    <row r="28" spans="1:19" x14ac:dyDescent="0.3">
      <c r="D28" s="340"/>
      <c r="E28" s="340"/>
      <c r="F28" s="340"/>
      <c r="G28" s="340"/>
      <c r="H28" s="340"/>
      <c r="I28" s="340"/>
      <c r="J28" s="340"/>
      <c r="K28" s="340"/>
      <c r="L28" s="340"/>
      <c r="M28" s="340"/>
    </row>
    <row r="29" spans="1:19" x14ac:dyDescent="0.3">
      <c r="I29" s="316"/>
      <c r="J29" s="316"/>
      <c r="K29" s="316"/>
      <c r="L29" s="316"/>
      <c r="M29" s="316"/>
    </row>
    <row r="30" spans="1:19" x14ac:dyDescent="0.3">
      <c r="I30" s="316"/>
      <c r="J30" s="316"/>
      <c r="K30" s="316"/>
      <c r="L30" s="316"/>
      <c r="M30" s="316"/>
    </row>
    <row r="32" spans="1:19" x14ac:dyDescent="0.3">
      <c r="Q32" s="340"/>
    </row>
  </sheetData>
  <sheetProtection algorithmName="SHA-512" hashValue="olcZczgl2bDIQwXsNHy2GTdEIcCLJkoFRhPkmx8FnF9A9xAIApGg1d9KFTwz85m4PGAqgeC4VI2M8rg1a30EWA==" saltValue="ZSArpN8qW3WnQpwZ04xtVg==" spinCount="100000" sheet="1" objects="1" scenarios="1" selectLockedCells="1" selectUnlockedCells="1"/>
  <mergeCells count="37">
    <mergeCell ref="D7:F8"/>
    <mergeCell ref="G7:G8"/>
    <mergeCell ref="H7:I7"/>
    <mergeCell ref="J7:K7"/>
    <mergeCell ref="H8:I8"/>
    <mergeCell ref="J8:K8"/>
    <mergeCell ref="G10:I10"/>
    <mergeCell ref="J10:L10"/>
    <mergeCell ref="F11:I11"/>
    <mergeCell ref="F12:I12"/>
    <mergeCell ref="F13:I13"/>
    <mergeCell ref="F19:I19"/>
    <mergeCell ref="J19:L19"/>
    <mergeCell ref="F20:I20"/>
    <mergeCell ref="J20:L20"/>
    <mergeCell ref="F14:I14"/>
    <mergeCell ref="F15:I15"/>
    <mergeCell ref="J15:L15"/>
    <mergeCell ref="F16:I16"/>
    <mergeCell ref="F17:I17"/>
    <mergeCell ref="J17:L17"/>
    <mergeCell ref="F27:I27"/>
    <mergeCell ref="J16:L16"/>
    <mergeCell ref="J11:L11"/>
    <mergeCell ref="J22:L22"/>
    <mergeCell ref="F25:I25"/>
    <mergeCell ref="J25:L25"/>
    <mergeCell ref="F26:I26"/>
    <mergeCell ref="J26:L26"/>
    <mergeCell ref="F21:I21"/>
    <mergeCell ref="F22:I22"/>
    <mergeCell ref="F23:I23"/>
    <mergeCell ref="J23:L23"/>
    <mergeCell ref="F24:I24"/>
    <mergeCell ref="J24:L24"/>
    <mergeCell ref="F18:I18"/>
    <mergeCell ref="J18:L18"/>
  </mergeCells>
  <printOptions horizontalCentered="1"/>
  <pageMargins left="0.5" right="0.5" top="0.75" bottom="0.5" header="0.5" footer="0.5"/>
  <pageSetup orientation="landscape" r:id="rId1"/>
  <headerFooter scaleWithDoc="0" alignWithMargins="0">
    <oddFooter>&amp;LFuture Value&amp;RPage &amp;P of &amp;N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F30F1-E9FF-4D02-A8AC-EE3BD7A43D30}">
  <sheetPr>
    <tabColor rgb="FFF0D3D2"/>
    <pageSetUpPr fitToPage="1"/>
  </sheetPr>
  <dimension ref="A1:X25"/>
  <sheetViews>
    <sheetView showGridLines="0" showRowColHeaders="0" zoomScaleNormal="100" zoomScaleSheetLayoutView="70" workbookViewId="0"/>
  </sheetViews>
  <sheetFormatPr defaultColWidth="9.21875" defaultRowHeight="13.8" x14ac:dyDescent="0.3"/>
  <cols>
    <col min="1" max="1" width="3.109375" style="112" customWidth="1"/>
    <col min="2" max="2" width="5.5546875" style="62" customWidth="1"/>
    <col min="3" max="3" width="24" style="62" customWidth="1"/>
    <col min="4" max="4" width="5.109375" style="62" customWidth="1"/>
    <col min="5" max="5" width="3.88671875" style="66" customWidth="1"/>
    <col min="6" max="6" width="6.109375" style="66" customWidth="1"/>
    <col min="7" max="7" width="14.44140625" style="61" customWidth="1"/>
    <col min="8" max="8" width="6.44140625" style="66" customWidth="1"/>
    <col min="9" max="9" width="1.6640625" style="62" customWidth="1"/>
    <col min="10" max="10" width="6.109375" style="66" bestFit="1" customWidth="1"/>
    <col min="11" max="11" width="4.44140625" style="62" customWidth="1"/>
    <col min="12" max="12" width="7.21875" style="66" customWidth="1"/>
    <col min="13" max="13" width="6.21875" style="364" bestFit="1" customWidth="1"/>
    <col min="14" max="16384" width="9.21875" style="62"/>
  </cols>
  <sheetData>
    <row r="1" spans="1:24" s="70" customFormat="1" ht="8.4" customHeight="1" x14ac:dyDescent="0.2">
      <c r="A1" s="69" t="s">
        <v>60</v>
      </c>
      <c r="E1" s="71"/>
      <c r="H1" s="170"/>
      <c r="W1" s="72"/>
    </row>
    <row r="2" spans="1:24" s="75" customFormat="1" ht="23.4" x14ac:dyDescent="0.45">
      <c r="A2" s="73"/>
      <c r="C2" s="74" t="s">
        <v>57</v>
      </c>
      <c r="E2" s="76"/>
      <c r="F2" s="76"/>
      <c r="G2" s="77"/>
      <c r="H2" s="76"/>
      <c r="M2" s="356"/>
    </row>
    <row r="3" spans="1:24" s="80" customFormat="1" ht="18" x14ac:dyDescent="0.35">
      <c r="A3" s="78"/>
      <c r="C3" s="79" t="s">
        <v>131</v>
      </c>
      <c r="E3" s="81"/>
      <c r="F3" s="81"/>
      <c r="G3" s="82"/>
      <c r="H3" s="83"/>
      <c r="K3" s="357"/>
      <c r="M3" s="312"/>
    </row>
    <row r="4" spans="1:24" s="88" customFormat="1" ht="14.4" x14ac:dyDescent="0.3">
      <c r="A4" s="84"/>
      <c r="C4" s="85"/>
      <c r="D4" s="86"/>
      <c r="E4" s="86"/>
      <c r="F4" s="86"/>
      <c r="G4" s="87"/>
      <c r="H4" s="86"/>
      <c r="I4" s="86"/>
      <c r="K4" s="86"/>
      <c r="L4" s="185"/>
      <c r="M4" s="185"/>
    </row>
    <row r="5" spans="1:24" s="88" customFormat="1" ht="15.6" x14ac:dyDescent="0.3">
      <c r="A5" s="84"/>
      <c r="C5" s="86" t="s">
        <v>231</v>
      </c>
      <c r="D5" s="86"/>
      <c r="E5" s="86"/>
      <c r="F5" s="86"/>
      <c r="G5" s="86"/>
      <c r="H5" s="86"/>
      <c r="I5" s="86"/>
      <c r="J5" s="86"/>
      <c r="K5" s="86"/>
      <c r="L5" s="86"/>
      <c r="M5" s="358"/>
      <c r="N5" s="86"/>
      <c r="O5" s="86"/>
      <c r="R5" s="90"/>
      <c r="U5" s="91"/>
      <c r="V5" s="91"/>
      <c r="W5" s="91"/>
      <c r="X5" s="91"/>
    </row>
    <row r="6" spans="1:24" s="88" customFormat="1" ht="9.6" customHeight="1" x14ac:dyDescent="0.3">
      <c r="A6" s="84"/>
      <c r="F6" s="92"/>
      <c r="H6" s="93"/>
      <c r="I6" s="94"/>
      <c r="J6" s="93"/>
      <c r="M6" s="90"/>
      <c r="O6" s="94"/>
      <c r="P6" s="93"/>
    </row>
    <row r="7" spans="1:24" s="316" customFormat="1" ht="14.4" x14ac:dyDescent="0.3">
      <c r="A7" s="359"/>
      <c r="C7" s="111" t="s">
        <v>146</v>
      </c>
      <c r="D7" s="318" t="s">
        <v>318</v>
      </c>
      <c r="E7" s="360"/>
      <c r="F7" s="319"/>
      <c r="G7" s="361"/>
      <c r="H7" s="362"/>
      <c r="I7" s="319"/>
      <c r="L7" s="339"/>
      <c r="M7" s="317"/>
    </row>
    <row r="8" spans="1:24" x14ac:dyDescent="0.3">
      <c r="C8" s="111" t="s">
        <v>137</v>
      </c>
      <c r="D8" s="323" t="s">
        <v>209</v>
      </c>
      <c r="E8" s="67"/>
      <c r="F8" s="67"/>
      <c r="G8" s="363"/>
      <c r="J8" s="335" t="s">
        <v>149</v>
      </c>
    </row>
    <row r="9" spans="1:24" s="114" customFormat="1" ht="9.6" customHeight="1" x14ac:dyDescent="0.3">
      <c r="A9" s="112"/>
      <c r="F9" s="144"/>
      <c r="H9" s="199"/>
      <c r="I9" s="243"/>
      <c r="J9" s="199"/>
      <c r="M9" s="260"/>
      <c r="O9" s="243"/>
      <c r="P9" s="199"/>
    </row>
    <row r="10" spans="1:24" s="370" customFormat="1" ht="15" customHeight="1" x14ac:dyDescent="0.3">
      <c r="A10" s="365"/>
      <c r="B10" s="97"/>
      <c r="C10" s="366"/>
      <c r="D10" s="367" t="s">
        <v>6</v>
      </c>
      <c r="E10" s="367" t="s">
        <v>72</v>
      </c>
      <c r="F10" s="367" t="s">
        <v>21</v>
      </c>
      <c r="G10" s="368" t="s">
        <v>69</v>
      </c>
      <c r="H10" s="367" t="s">
        <v>91</v>
      </c>
      <c r="I10" s="366"/>
      <c r="J10" s="367" t="s">
        <v>6</v>
      </c>
      <c r="K10" s="367" t="s">
        <v>72</v>
      </c>
      <c r="L10" s="367" t="s">
        <v>21</v>
      </c>
      <c r="M10" s="369" t="s">
        <v>97</v>
      </c>
      <c r="N10" s="366"/>
      <c r="O10" s="366"/>
      <c r="P10" s="366"/>
    </row>
    <row r="11" spans="1:24" x14ac:dyDescent="0.3">
      <c r="B11" s="334"/>
      <c r="C11" s="335" t="s">
        <v>142</v>
      </c>
      <c r="D11" s="726" t="s">
        <v>241</v>
      </c>
      <c r="E11" s="727">
        <v>0</v>
      </c>
      <c r="F11" s="728">
        <v>-750</v>
      </c>
      <c r="G11" s="372" t="str">
        <f>"IRR ("&amp;TEXT(F11,"#,###")&amp;":"&amp;TEXT(F15,"#,###")&amp;")"</f>
        <v>IRR (-750:1,000)</v>
      </c>
      <c r="H11" s="729">
        <f>IRR(F11:F15)</f>
        <v>7.4569931821339308E-2</v>
      </c>
      <c r="J11" s="726">
        <f>H11</f>
        <v>7.4569931821339308E-2</v>
      </c>
      <c r="K11" s="727">
        <f t="shared" ref="K11:K15" si="0">E11</f>
        <v>0</v>
      </c>
      <c r="L11" s="730">
        <f t="shared" ref="L11:L15" si="1">F11</f>
        <v>-750</v>
      </c>
      <c r="M11" s="688">
        <f>SUM(M12:M15)</f>
        <v>750.00000000614909</v>
      </c>
    </row>
    <row r="12" spans="1:24" x14ac:dyDescent="0.3">
      <c r="C12" s="62" t="s">
        <v>187</v>
      </c>
      <c r="D12" s="731"/>
      <c r="E12" s="732">
        <v>1</v>
      </c>
      <c r="F12" s="733">
        <v>0</v>
      </c>
      <c r="G12" s="25"/>
      <c r="H12" s="734"/>
      <c r="J12" s="735"/>
      <c r="K12" s="732">
        <f t="shared" si="0"/>
        <v>1</v>
      </c>
      <c r="L12" s="736">
        <f t="shared" si="1"/>
        <v>0</v>
      </c>
      <c r="M12" s="649">
        <f>L12/(1+$J$11)^E12</f>
        <v>0</v>
      </c>
    </row>
    <row r="13" spans="1:24" x14ac:dyDescent="0.3">
      <c r="D13" s="731"/>
      <c r="E13" s="732">
        <v>2</v>
      </c>
      <c r="F13" s="733">
        <v>0</v>
      </c>
      <c r="G13" s="25"/>
      <c r="H13" s="734"/>
      <c r="J13" s="735"/>
      <c r="K13" s="732">
        <f t="shared" si="0"/>
        <v>2</v>
      </c>
      <c r="L13" s="736">
        <f t="shared" si="1"/>
        <v>0</v>
      </c>
      <c r="M13" s="649">
        <f>L13/(1+$J$11)^E13</f>
        <v>0</v>
      </c>
    </row>
    <row r="14" spans="1:24" x14ac:dyDescent="0.3">
      <c r="D14" s="731"/>
      <c r="E14" s="732">
        <v>3</v>
      </c>
      <c r="F14" s="733">
        <v>0</v>
      </c>
      <c r="G14" s="25"/>
      <c r="H14" s="734"/>
      <c r="I14" s="337"/>
      <c r="J14" s="735"/>
      <c r="K14" s="732">
        <f t="shared" si="0"/>
        <v>3</v>
      </c>
      <c r="L14" s="736">
        <f t="shared" si="1"/>
        <v>0</v>
      </c>
      <c r="M14" s="649">
        <f>L14/(1+$J$11)^E14</f>
        <v>0</v>
      </c>
    </row>
    <row r="15" spans="1:24" s="114" customFormat="1" x14ac:dyDescent="0.3">
      <c r="A15" s="112"/>
      <c r="C15" s="62"/>
      <c r="D15" s="737"/>
      <c r="E15" s="738">
        <v>4</v>
      </c>
      <c r="F15" s="739">
        <v>1000</v>
      </c>
      <c r="G15" s="586"/>
      <c r="H15" s="740"/>
      <c r="J15" s="741"/>
      <c r="K15" s="738">
        <f t="shared" si="0"/>
        <v>4</v>
      </c>
      <c r="L15" s="742">
        <f t="shared" si="1"/>
        <v>1000</v>
      </c>
      <c r="M15" s="657">
        <f>L15/(1+$J$11)^E15</f>
        <v>750.00000000614909</v>
      </c>
    </row>
    <row r="16" spans="1:24" x14ac:dyDescent="0.3">
      <c r="C16" s="335" t="s">
        <v>141</v>
      </c>
      <c r="D16" s="743" t="s">
        <v>241</v>
      </c>
      <c r="E16" s="744">
        <v>0</v>
      </c>
      <c r="F16" s="745">
        <f>F11</f>
        <v>-750</v>
      </c>
      <c r="G16" s="373" t="str">
        <f>"IRR ("&amp;TEXT(F16,"#,###")&amp;":"&amp;TEXT(F20,"#,###")&amp;")"</f>
        <v>IRR (-750:1,050)</v>
      </c>
      <c r="H16" s="746">
        <f>IRR(F16:F20)</f>
        <v>0.13490699803442219</v>
      </c>
      <c r="I16" s="114"/>
      <c r="J16" s="743">
        <f>H16</f>
        <v>0.13490699803442219</v>
      </c>
      <c r="K16" s="744">
        <f t="shared" ref="K16:K25" si="2">E16</f>
        <v>0</v>
      </c>
      <c r="L16" s="747">
        <f t="shared" ref="L16:L25" si="3">F16</f>
        <v>-750</v>
      </c>
      <c r="M16" s="720">
        <f>SUM(M17:M20)</f>
        <v>750.00000000000045</v>
      </c>
      <c r="N16" s="114"/>
    </row>
    <row r="17" spans="3:13" x14ac:dyDescent="0.3">
      <c r="C17" s="62" t="s">
        <v>188</v>
      </c>
      <c r="D17" s="731"/>
      <c r="E17" s="732">
        <v>1</v>
      </c>
      <c r="F17" s="733">
        <v>50</v>
      </c>
      <c r="G17" s="25"/>
      <c r="H17" s="734"/>
      <c r="J17" s="735"/>
      <c r="K17" s="732">
        <f t="shared" si="2"/>
        <v>1</v>
      </c>
      <c r="L17" s="736">
        <f t="shared" si="3"/>
        <v>50</v>
      </c>
      <c r="M17" s="693">
        <f>L17/(1+$J$16)^E17</f>
        <v>44.05647342610137</v>
      </c>
    </row>
    <row r="18" spans="3:13" x14ac:dyDescent="0.3">
      <c r="D18" s="731"/>
      <c r="E18" s="732">
        <v>2</v>
      </c>
      <c r="F18" s="733">
        <v>50</v>
      </c>
      <c r="G18" s="25"/>
      <c r="H18" s="734"/>
      <c r="J18" s="735"/>
      <c r="K18" s="732">
        <f t="shared" si="2"/>
        <v>2</v>
      </c>
      <c r="L18" s="736">
        <f t="shared" si="3"/>
        <v>50</v>
      </c>
      <c r="M18" s="693">
        <f>L18/(1+$J$16)^E18</f>
        <v>38.819457014895526</v>
      </c>
    </row>
    <row r="19" spans="3:13" x14ac:dyDescent="0.3">
      <c r="D19" s="731"/>
      <c r="E19" s="732">
        <v>3</v>
      </c>
      <c r="F19" s="733">
        <v>50</v>
      </c>
      <c r="G19" s="25"/>
      <c r="H19" s="734"/>
      <c r="J19" s="735"/>
      <c r="K19" s="732">
        <f t="shared" si="2"/>
        <v>3</v>
      </c>
      <c r="L19" s="736">
        <f t="shared" si="3"/>
        <v>50</v>
      </c>
      <c r="M19" s="693">
        <f>L19/(1+$J$16)^E19</f>
        <v>34.204967527848581</v>
      </c>
    </row>
    <row r="20" spans="3:13" x14ac:dyDescent="0.3">
      <c r="D20" s="737"/>
      <c r="E20" s="738">
        <v>4</v>
      </c>
      <c r="F20" s="739">
        <v>1050</v>
      </c>
      <c r="G20" s="586"/>
      <c r="H20" s="740"/>
      <c r="J20" s="741"/>
      <c r="K20" s="738">
        <f t="shared" si="2"/>
        <v>4</v>
      </c>
      <c r="L20" s="742">
        <f t="shared" si="3"/>
        <v>1050</v>
      </c>
      <c r="M20" s="699">
        <f>L20/(1+$J$16)^E20</f>
        <v>632.91910203115503</v>
      </c>
    </row>
    <row r="21" spans="3:13" x14ac:dyDescent="0.3">
      <c r="C21" s="335" t="s">
        <v>143</v>
      </c>
      <c r="D21" s="743" t="s">
        <v>241</v>
      </c>
      <c r="E21" s="744">
        <v>0</v>
      </c>
      <c r="F21" s="745">
        <f>F16</f>
        <v>-750</v>
      </c>
      <c r="G21" s="373" t="str">
        <f>"IRR ("&amp;TEXT(F21,"#,###")&amp;":"&amp;TEXT(F25,"#,###")&amp;")"</f>
        <v>IRR (-750:975)</v>
      </c>
      <c r="H21" s="746">
        <f>IRR(F21:F25)</f>
        <v>4.4624737301709683E-2</v>
      </c>
      <c r="I21" s="371"/>
      <c r="J21" s="743">
        <f>H21</f>
        <v>4.4624737301709683E-2</v>
      </c>
      <c r="K21" s="744">
        <f t="shared" si="2"/>
        <v>0</v>
      </c>
      <c r="L21" s="747">
        <f t="shared" si="3"/>
        <v>-750</v>
      </c>
      <c r="M21" s="720">
        <f>SUM(M22:M25)</f>
        <v>749.99999999998454</v>
      </c>
    </row>
    <row r="22" spans="3:13" x14ac:dyDescent="0.3">
      <c r="C22" s="62" t="s">
        <v>147</v>
      </c>
      <c r="D22" s="731"/>
      <c r="E22" s="732">
        <v>1</v>
      </c>
      <c r="F22" s="733">
        <v>-25</v>
      </c>
      <c r="G22" s="25"/>
      <c r="H22" s="734"/>
      <c r="J22" s="735"/>
      <c r="K22" s="732">
        <f t="shared" si="2"/>
        <v>1</v>
      </c>
      <c r="L22" s="736">
        <f t="shared" si="3"/>
        <v>-25</v>
      </c>
      <c r="M22" s="693">
        <f>L22/(1+$J$21)^E22</f>
        <v>-23.932039044543011</v>
      </c>
    </row>
    <row r="23" spans="3:13" x14ac:dyDescent="0.3">
      <c r="D23" s="731"/>
      <c r="E23" s="732">
        <v>2</v>
      </c>
      <c r="F23" s="733">
        <v>-25</v>
      </c>
      <c r="G23" s="25"/>
      <c r="H23" s="734"/>
      <c r="J23" s="578"/>
      <c r="K23" s="732">
        <f t="shared" si="2"/>
        <v>2</v>
      </c>
      <c r="L23" s="736">
        <f t="shared" si="3"/>
        <v>-25</v>
      </c>
      <c r="M23" s="693">
        <f>L23/(1+$J$21)^E23</f>
        <v>-22.90969971318124</v>
      </c>
    </row>
    <row r="24" spans="3:13" x14ac:dyDescent="0.3">
      <c r="D24" s="731"/>
      <c r="E24" s="732">
        <v>3</v>
      </c>
      <c r="F24" s="733">
        <v>-25</v>
      </c>
      <c r="G24" s="25"/>
      <c r="H24" s="734"/>
      <c r="J24" s="578"/>
      <c r="K24" s="732">
        <f t="shared" si="2"/>
        <v>3</v>
      </c>
      <c r="L24" s="736">
        <f t="shared" si="3"/>
        <v>-25</v>
      </c>
      <c r="M24" s="693">
        <f>L24/(1+$J$21)^E24</f>
        <v>-21.93103312138437</v>
      </c>
    </row>
    <row r="25" spans="3:13" x14ac:dyDescent="0.3">
      <c r="D25" s="748"/>
      <c r="E25" s="749">
        <v>4</v>
      </c>
      <c r="F25" s="750">
        <v>975</v>
      </c>
      <c r="G25" s="587"/>
      <c r="H25" s="751"/>
      <c r="J25" s="582"/>
      <c r="K25" s="749">
        <f t="shared" si="2"/>
        <v>4</v>
      </c>
      <c r="L25" s="752">
        <f t="shared" si="3"/>
        <v>975</v>
      </c>
      <c r="M25" s="711">
        <f>L25/(1+$J$21)^E25</f>
        <v>818.77277187909317</v>
      </c>
    </row>
  </sheetData>
  <sheetProtection algorithmName="SHA-512" hashValue="uYBX1hlRP3V+ZNHzmKCGwynSWndjiuIJwQjiGcQiOg+tEsPDwOG7PdNjZFL1eV6RUc5icSXSBLyD8h/akoLlTA==" saltValue="vkyuwJTZnXyusNP3mJpgng==" spinCount="100000" sheet="1" objects="1" scenarios="1" selectLockedCells="1" selectUnlockedCells="1"/>
  <printOptions horizontalCentered="1"/>
  <pageMargins left="0.5" right="0.5" top="0.75" bottom="0.5" header="0.5" footer="0.5"/>
  <pageSetup orientation="landscape" r:id="rId1"/>
  <headerFooter scaleWithDoc="0" alignWithMargins="0">
    <oddFooter>&amp;LInternal Rate of Return&amp;RPage &amp;P of &amp;N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7B340-4254-4847-82DC-57261EDA71F7}">
  <sheetPr>
    <tabColor rgb="FFF0D3D2"/>
    <pageSetUpPr fitToPage="1"/>
  </sheetPr>
  <dimension ref="A1:W37"/>
  <sheetViews>
    <sheetView showGridLines="0" showRowColHeaders="0" zoomScaleNormal="100" zoomScaleSheetLayoutView="100" workbookViewId="0"/>
  </sheetViews>
  <sheetFormatPr defaultColWidth="8.88671875" defaultRowHeight="13.8" x14ac:dyDescent="0.3"/>
  <cols>
    <col min="1" max="1" width="3.109375" style="112" customWidth="1"/>
    <col min="2" max="2" width="5.5546875" style="112" customWidth="1"/>
    <col min="3" max="3" width="6.109375" style="61" bestFit="1" customWidth="1"/>
    <col min="4" max="4" width="1.5546875" style="118" customWidth="1"/>
    <col min="5" max="5" width="7.88671875" style="128" customWidth="1"/>
    <col min="6" max="8" width="7.33203125" style="118" customWidth="1"/>
    <col min="9" max="9" width="3.88671875" style="118" customWidth="1"/>
    <col min="10" max="10" width="7.88671875" style="128" customWidth="1"/>
    <col min="11" max="13" width="7.33203125" style="118" customWidth="1"/>
    <col min="14" max="14" width="3.88671875" style="118" customWidth="1"/>
    <col min="15" max="15" width="7.88671875" style="61" customWidth="1"/>
    <col min="16" max="17" width="7.33203125" style="118" customWidth="1"/>
    <col min="18" max="18" width="7.33203125" style="131" customWidth="1"/>
    <col min="19" max="19" width="3.88671875" style="128" customWidth="1"/>
    <col min="20" max="20" width="10.88671875" style="116" customWidth="1"/>
    <col min="21" max="21" width="7.33203125" style="118" bestFit="1" customWidth="1"/>
    <col min="22" max="22" width="3.6640625" style="118" customWidth="1"/>
    <col min="23" max="23" width="63.77734375" style="65" bestFit="1" customWidth="1"/>
    <col min="24" max="16384" width="8.88671875" style="116"/>
  </cols>
  <sheetData>
    <row r="1" spans="1:23" s="70" customFormat="1" ht="8.4" customHeight="1" x14ac:dyDescent="0.2">
      <c r="A1" s="69" t="s">
        <v>60</v>
      </c>
      <c r="E1" s="71"/>
      <c r="H1" s="170"/>
      <c r="W1" s="72"/>
    </row>
    <row r="2" spans="1:23" s="75" customFormat="1" ht="23.4" x14ac:dyDescent="0.45">
      <c r="A2" s="73"/>
      <c r="B2" s="73"/>
      <c r="C2" s="74" t="s">
        <v>340</v>
      </c>
      <c r="E2" s="76"/>
      <c r="F2" s="76"/>
      <c r="G2" s="77"/>
      <c r="H2" s="76"/>
      <c r="J2" s="76"/>
      <c r="K2" s="76"/>
      <c r="L2" s="77"/>
      <c r="M2" s="76"/>
    </row>
    <row r="3" spans="1:23" s="80" customFormat="1" ht="18" x14ac:dyDescent="0.35">
      <c r="A3" s="78"/>
      <c r="B3" s="78"/>
      <c r="C3" s="79" t="s">
        <v>134</v>
      </c>
      <c r="E3" s="81"/>
      <c r="F3" s="81"/>
      <c r="G3" s="82"/>
      <c r="H3" s="83"/>
      <c r="J3" s="81"/>
      <c r="K3" s="81"/>
      <c r="L3" s="82"/>
      <c r="M3" s="83"/>
    </row>
    <row r="4" spans="1:23" s="88" customFormat="1" ht="14.4" x14ac:dyDescent="0.3">
      <c r="A4" s="84"/>
      <c r="B4" s="84"/>
      <c r="C4" s="85"/>
      <c r="D4" s="86"/>
      <c r="E4" s="86"/>
      <c r="F4" s="86"/>
      <c r="G4" s="87"/>
      <c r="H4" s="86"/>
      <c r="I4" s="86"/>
      <c r="J4" s="86"/>
      <c r="K4" s="86"/>
      <c r="L4" s="87"/>
      <c r="M4" s="86"/>
    </row>
    <row r="5" spans="1:23" s="88" customFormat="1" ht="15.6" x14ac:dyDescent="0.3">
      <c r="A5" s="84"/>
      <c r="B5" s="84"/>
      <c r="C5" s="89" t="s">
        <v>309</v>
      </c>
      <c r="D5" s="86"/>
      <c r="E5" s="86"/>
      <c r="F5" s="86"/>
      <c r="G5" s="86"/>
      <c r="H5" s="86"/>
      <c r="I5" s="86"/>
      <c r="J5" s="86"/>
      <c r="K5" s="86"/>
      <c r="L5" s="86"/>
      <c r="M5" s="86"/>
      <c r="P5" s="90"/>
      <c r="R5" s="91"/>
      <c r="S5" s="91"/>
      <c r="T5" s="91"/>
    </row>
    <row r="6" spans="1:23" s="88" customFormat="1" ht="9.6" customHeight="1" x14ac:dyDescent="0.3">
      <c r="A6" s="84"/>
      <c r="B6" s="84"/>
      <c r="F6" s="92"/>
      <c r="H6" s="93"/>
      <c r="I6" s="94"/>
      <c r="K6" s="92"/>
      <c r="M6" s="93"/>
      <c r="N6" s="93"/>
    </row>
    <row r="7" spans="1:23" s="96" customFormat="1" ht="15.6" customHeight="1" x14ac:dyDescent="0.3">
      <c r="A7" s="95"/>
      <c r="B7" s="95"/>
      <c r="D7" s="97"/>
      <c r="E7" s="98" t="s">
        <v>377</v>
      </c>
      <c r="F7" s="97"/>
      <c r="G7" s="99"/>
      <c r="H7" s="99"/>
      <c r="I7" s="99"/>
      <c r="J7" s="98" t="s">
        <v>378</v>
      </c>
      <c r="L7" s="99"/>
      <c r="M7" s="99"/>
      <c r="N7" s="99"/>
      <c r="O7" s="98" t="s">
        <v>379</v>
      </c>
      <c r="R7" s="99"/>
      <c r="T7" s="100"/>
      <c r="U7" s="100"/>
      <c r="V7" s="100"/>
      <c r="W7" s="101"/>
    </row>
    <row r="8" spans="1:23" s="96" customFormat="1" x14ac:dyDescent="0.3">
      <c r="A8" s="95"/>
      <c r="B8" s="95"/>
      <c r="E8" s="102" t="s">
        <v>375</v>
      </c>
      <c r="G8" s="753">
        <v>1000</v>
      </c>
      <c r="H8" s="99"/>
      <c r="I8" s="99"/>
      <c r="J8" s="102" t="s">
        <v>375</v>
      </c>
      <c r="L8" s="753">
        <v>1000</v>
      </c>
      <c r="M8" s="99"/>
      <c r="N8" s="103"/>
      <c r="O8" s="102" t="s">
        <v>375</v>
      </c>
      <c r="Q8" s="753">
        <v>1000</v>
      </c>
      <c r="R8" s="99"/>
      <c r="T8" s="100"/>
      <c r="U8" s="100"/>
      <c r="V8" s="100"/>
      <c r="W8" s="101"/>
    </row>
    <row r="9" spans="1:23" s="96" customFormat="1" x14ac:dyDescent="0.3">
      <c r="A9" s="95"/>
      <c r="B9" s="95"/>
      <c r="E9" s="102" t="s">
        <v>374</v>
      </c>
      <c r="G9" s="754">
        <v>0</v>
      </c>
      <c r="H9" s="99"/>
      <c r="I9" s="99"/>
      <c r="J9" s="102" t="s">
        <v>374</v>
      </c>
      <c r="L9" s="754">
        <v>25</v>
      </c>
      <c r="M9" s="99"/>
      <c r="N9" s="103"/>
      <c r="O9" s="102" t="s">
        <v>374</v>
      </c>
      <c r="Q9" s="754">
        <v>0</v>
      </c>
      <c r="R9" s="99"/>
      <c r="T9" s="100"/>
      <c r="U9" s="100"/>
      <c r="V9" s="100"/>
      <c r="W9" s="101"/>
    </row>
    <row r="10" spans="1:23" s="88" customFormat="1" ht="6" customHeight="1" x14ac:dyDescent="0.3">
      <c r="A10" s="84"/>
      <c r="B10" s="84"/>
      <c r="F10" s="92"/>
      <c r="H10" s="93"/>
      <c r="I10" s="94"/>
      <c r="M10" s="93"/>
      <c r="N10" s="93"/>
    </row>
    <row r="11" spans="1:23" s="106" customFormat="1" x14ac:dyDescent="0.3">
      <c r="A11" s="104"/>
      <c r="B11" s="104"/>
      <c r="C11" s="105" t="s">
        <v>161</v>
      </c>
      <c r="E11" s="107" t="s">
        <v>21</v>
      </c>
      <c r="F11" s="108" t="s">
        <v>368</v>
      </c>
      <c r="G11" s="107" t="s">
        <v>369</v>
      </c>
      <c r="H11" s="109" t="s">
        <v>20</v>
      </c>
      <c r="I11" s="107"/>
      <c r="J11" s="107" t="s">
        <v>21</v>
      </c>
      <c r="K11" s="107" t="s">
        <v>368</v>
      </c>
      <c r="L11" s="107" t="s">
        <v>369</v>
      </c>
      <c r="M11" s="107" t="s">
        <v>20</v>
      </c>
      <c r="N11" s="107"/>
      <c r="O11" s="107" t="s">
        <v>21</v>
      </c>
      <c r="P11" s="108" t="s">
        <v>368</v>
      </c>
      <c r="Q11" s="107" t="s">
        <v>369</v>
      </c>
      <c r="R11" s="107" t="s">
        <v>20</v>
      </c>
      <c r="T11" s="101" t="s">
        <v>11</v>
      </c>
      <c r="U11" s="110"/>
      <c r="W11" s="111" t="s">
        <v>159</v>
      </c>
    </row>
    <row r="12" spans="1:23" s="114" customFormat="1" x14ac:dyDescent="0.3">
      <c r="A12" s="112"/>
      <c r="B12" s="112"/>
      <c r="C12" s="113">
        <v>0</v>
      </c>
      <c r="E12" s="755">
        <f>-G$8</f>
        <v>-1000</v>
      </c>
      <c r="F12" s="756"/>
      <c r="G12" s="757"/>
      <c r="H12" s="758">
        <f>G$8</f>
        <v>1000</v>
      </c>
      <c r="I12" s="99"/>
      <c r="J12" s="755">
        <f>-L$8</f>
        <v>-1000</v>
      </c>
      <c r="K12" s="757"/>
      <c r="L12" s="757"/>
      <c r="M12" s="759">
        <f>L$8</f>
        <v>1000</v>
      </c>
      <c r="N12" s="99"/>
      <c r="O12" s="755">
        <f>-Q$8</f>
        <v>-1000</v>
      </c>
      <c r="P12" s="756"/>
      <c r="Q12" s="757">
        <v>0</v>
      </c>
      <c r="R12" s="758">
        <f>Q$8</f>
        <v>1000</v>
      </c>
      <c r="T12" s="115" t="s">
        <v>194</v>
      </c>
      <c r="U12" s="760">
        <f>WACC!AA25</f>
        <v>5.0683007518796994E-2</v>
      </c>
      <c r="W12" s="116" t="s">
        <v>98</v>
      </c>
    </row>
    <row r="13" spans="1:23" x14ac:dyDescent="0.3">
      <c r="C13" s="113">
        <v>1</v>
      </c>
      <c r="D13" s="116"/>
      <c r="E13" s="761">
        <f t="shared" ref="E13:E19" si="0">-G$9</f>
        <v>0</v>
      </c>
      <c r="F13" s="762">
        <f>H12</f>
        <v>1000</v>
      </c>
      <c r="G13" s="763">
        <f t="shared" ref="G13:G20" si="1">H12*$U$12</f>
        <v>50.683007518796991</v>
      </c>
      <c r="H13" s="764">
        <f t="shared" ref="H13:H19" si="2">SUM(F13:G13)+G$9</f>
        <v>1050.683007518797</v>
      </c>
      <c r="I13" s="99"/>
      <c r="J13" s="761">
        <f t="shared" ref="J13:J19" si="3">-L$9</f>
        <v>-25</v>
      </c>
      <c r="K13" s="763">
        <f>M12</f>
        <v>1000</v>
      </c>
      <c r="L13" s="763">
        <f t="shared" ref="L13:L19" si="4">(K13+$L$9)*$U$12</f>
        <v>51.950082706766921</v>
      </c>
      <c r="M13" s="765">
        <f t="shared" ref="M13:M19" si="5">SUM(K13:L13)+L$9</f>
        <v>1076.9500827067668</v>
      </c>
      <c r="N13" s="99"/>
      <c r="O13" s="761">
        <f>-Q$9</f>
        <v>0</v>
      </c>
      <c r="P13" s="762">
        <f>R12</f>
        <v>1000</v>
      </c>
      <c r="Q13" s="763">
        <f>R12*$U$12</f>
        <v>50.683007518796991</v>
      </c>
      <c r="R13" s="764">
        <f>SUM(P13:Q13)+Q$9</f>
        <v>1050.683007518797</v>
      </c>
      <c r="S13" s="116"/>
      <c r="T13" s="117" t="s">
        <v>266</v>
      </c>
      <c r="U13" s="766">
        <v>0.2</v>
      </c>
      <c r="W13" s="68" t="s">
        <v>193</v>
      </c>
    </row>
    <row r="14" spans="1:23" s="62" customFormat="1" x14ac:dyDescent="0.3">
      <c r="A14" s="112"/>
      <c r="B14" s="112"/>
      <c r="C14" s="113">
        <v>2</v>
      </c>
      <c r="E14" s="761">
        <f t="shared" si="0"/>
        <v>0</v>
      </c>
      <c r="F14" s="762">
        <f t="shared" ref="F14:F20" si="6">H13</f>
        <v>1050.683007518797</v>
      </c>
      <c r="G14" s="763">
        <f t="shared" si="1"/>
        <v>53.251774769947424</v>
      </c>
      <c r="H14" s="764">
        <f t="shared" si="2"/>
        <v>1103.9347822887444</v>
      </c>
      <c r="I14" s="99"/>
      <c r="J14" s="761">
        <f t="shared" si="3"/>
        <v>-25</v>
      </c>
      <c r="K14" s="763">
        <f t="shared" ref="K14:K20" si="7">M13</f>
        <v>1076.9500827067668</v>
      </c>
      <c r="L14" s="763">
        <f t="shared" si="4"/>
        <v>55.850144327166028</v>
      </c>
      <c r="M14" s="765">
        <f t="shared" si="5"/>
        <v>1157.8002270339327</v>
      </c>
      <c r="N14" s="99"/>
      <c r="O14" s="761">
        <f>-Q$9</f>
        <v>0</v>
      </c>
      <c r="P14" s="762">
        <f t="shared" ref="P14:P17" si="8">R13</f>
        <v>1050.683007518797</v>
      </c>
      <c r="Q14" s="763">
        <f>R13*$U$12</f>
        <v>53.251774769947424</v>
      </c>
      <c r="R14" s="764">
        <f>SUM(P14:Q14)+Q$9</f>
        <v>1103.9347822887444</v>
      </c>
      <c r="T14" s="119" t="s">
        <v>285</v>
      </c>
      <c r="U14" s="767">
        <v>0.1</v>
      </c>
    </row>
    <row r="15" spans="1:23" s="62" customFormat="1" x14ac:dyDescent="0.3">
      <c r="A15" s="112"/>
      <c r="B15" s="112"/>
      <c r="C15" s="113">
        <v>3</v>
      </c>
      <c r="E15" s="761">
        <f t="shared" si="0"/>
        <v>0</v>
      </c>
      <c r="F15" s="762">
        <f t="shared" si="6"/>
        <v>1103.9347822887444</v>
      </c>
      <c r="G15" s="763">
        <f t="shared" si="1"/>
        <v>55.950734871001956</v>
      </c>
      <c r="H15" s="764">
        <f t="shared" si="2"/>
        <v>1159.8855171597463</v>
      </c>
      <c r="I15" s="99"/>
      <c r="J15" s="761">
        <f t="shared" si="3"/>
        <v>-25</v>
      </c>
      <c r="K15" s="763">
        <f t="shared" si="7"/>
        <v>1157.8002270339327</v>
      </c>
      <c r="L15" s="763">
        <f t="shared" si="4"/>
        <v>59.947872799995608</v>
      </c>
      <c r="M15" s="765">
        <f t="shared" si="5"/>
        <v>1242.7480998339283</v>
      </c>
      <c r="N15" s="99"/>
      <c r="O15" s="761">
        <f>-Q$9</f>
        <v>0</v>
      </c>
      <c r="P15" s="762">
        <f t="shared" si="8"/>
        <v>1103.9347822887444</v>
      </c>
      <c r="Q15" s="763">
        <f>R14*$U$12</f>
        <v>55.950734871001956</v>
      </c>
      <c r="R15" s="764">
        <f>SUM(P15:Q15)+Q$9</f>
        <v>1159.8855171597463</v>
      </c>
      <c r="U15" s="66"/>
      <c r="W15" s="116" t="s">
        <v>122</v>
      </c>
    </row>
    <row r="16" spans="1:23" s="62" customFormat="1" x14ac:dyDescent="0.3">
      <c r="A16" s="112"/>
      <c r="B16" s="112"/>
      <c r="C16" s="113">
        <v>4</v>
      </c>
      <c r="E16" s="761">
        <f t="shared" si="0"/>
        <v>0</v>
      </c>
      <c r="F16" s="762">
        <f t="shared" si="6"/>
        <v>1159.8855171597463</v>
      </c>
      <c r="G16" s="763">
        <f t="shared" si="1"/>
        <v>58.786486387151164</v>
      </c>
      <c r="H16" s="764">
        <f t="shared" si="2"/>
        <v>1218.6720035468975</v>
      </c>
      <c r="I16" s="99"/>
      <c r="J16" s="761">
        <f t="shared" si="3"/>
        <v>-25</v>
      </c>
      <c r="K16" s="763">
        <f>M15</f>
        <v>1242.7480998339283</v>
      </c>
      <c r="L16" s="763">
        <f t="shared" si="4"/>
        <v>64.253286475823586</v>
      </c>
      <c r="M16" s="765">
        <f t="shared" si="5"/>
        <v>1332.001386309752</v>
      </c>
      <c r="N16" s="99"/>
      <c r="O16" s="761">
        <f>-Q$9</f>
        <v>0</v>
      </c>
      <c r="P16" s="762">
        <f t="shared" si="8"/>
        <v>1159.8855171597463</v>
      </c>
      <c r="Q16" s="763">
        <f>R15*$U$12</f>
        <v>58.786486387151164</v>
      </c>
      <c r="R16" s="764">
        <f>SUM(P16:Q16)+Q$9</f>
        <v>1218.6720035468975</v>
      </c>
      <c r="U16" s="66"/>
      <c r="W16" s="68" t="s">
        <v>106</v>
      </c>
    </row>
    <row r="17" spans="1:23" s="62" customFormat="1" x14ac:dyDescent="0.3">
      <c r="A17" s="112"/>
      <c r="B17" s="112"/>
      <c r="C17" s="113">
        <v>5</v>
      </c>
      <c r="E17" s="761">
        <f t="shared" si="0"/>
        <v>0</v>
      </c>
      <c r="F17" s="762">
        <f t="shared" si="6"/>
        <v>1218.6720035468975</v>
      </c>
      <c r="G17" s="763">
        <f t="shared" si="1"/>
        <v>61.765962318714799</v>
      </c>
      <c r="H17" s="764">
        <f t="shared" si="2"/>
        <v>1280.4379658656123</v>
      </c>
      <c r="I17" s="99"/>
      <c r="J17" s="761">
        <f t="shared" si="3"/>
        <v>-25</v>
      </c>
      <c r="K17" s="763">
        <f t="shared" si="7"/>
        <v>1332.001386309752</v>
      </c>
      <c r="L17" s="763">
        <f t="shared" si="4"/>
        <v>68.776911465355099</v>
      </c>
      <c r="M17" s="765">
        <f t="shared" si="5"/>
        <v>1425.7782977751071</v>
      </c>
      <c r="N17" s="99"/>
      <c r="O17" s="761">
        <f>R$20-Q$9</f>
        <v>896.30657610592857</v>
      </c>
      <c r="P17" s="768">
        <f t="shared" si="8"/>
        <v>1218.6720035468975</v>
      </c>
      <c r="Q17" s="769">
        <f>R16*$U$12</f>
        <v>61.765962318714799</v>
      </c>
      <c r="R17" s="770">
        <f>SUM(P17:Q17)+Q$9</f>
        <v>1280.4379658656123</v>
      </c>
      <c r="U17" s="66"/>
    </row>
    <row r="18" spans="1:23" s="62" customFormat="1" x14ac:dyDescent="0.3">
      <c r="A18" s="112"/>
      <c r="B18" s="112"/>
      <c r="C18" s="113">
        <v>6</v>
      </c>
      <c r="E18" s="761">
        <f t="shared" si="0"/>
        <v>0</v>
      </c>
      <c r="F18" s="762">
        <f t="shared" si="6"/>
        <v>1280.4379658656123</v>
      </c>
      <c r="G18" s="763">
        <f t="shared" si="1"/>
        <v>64.896447051319953</v>
      </c>
      <c r="H18" s="764">
        <f t="shared" si="2"/>
        <v>1345.3344129169323</v>
      </c>
      <c r="I18" s="99"/>
      <c r="J18" s="761">
        <f t="shared" si="3"/>
        <v>-25</v>
      </c>
      <c r="K18" s="763">
        <f t="shared" si="7"/>
        <v>1425.7782977751071</v>
      </c>
      <c r="L18" s="763">
        <f t="shared" si="4"/>
        <v>73.529807374243262</v>
      </c>
      <c r="M18" s="765">
        <f t="shared" si="5"/>
        <v>1524.3081051493505</v>
      </c>
      <c r="N18" s="99"/>
      <c r="O18" s="761"/>
      <c r="P18" s="771" t="s">
        <v>370</v>
      </c>
      <c r="Q18" s="353"/>
      <c r="R18" s="764">
        <f>-$U$14*R17</f>
        <v>-128.04379658656123</v>
      </c>
      <c r="U18" s="66"/>
      <c r="W18" s="116" t="s">
        <v>100</v>
      </c>
    </row>
    <row r="19" spans="1:23" s="62" customFormat="1" x14ac:dyDescent="0.3">
      <c r="A19" s="112"/>
      <c r="B19" s="112"/>
      <c r="C19" s="113">
        <v>7</v>
      </c>
      <c r="E19" s="761">
        <f t="shared" si="0"/>
        <v>0</v>
      </c>
      <c r="F19" s="762">
        <f t="shared" si="6"/>
        <v>1345.3344129169323</v>
      </c>
      <c r="G19" s="763">
        <f t="shared" si="1"/>
        <v>68.185594165165213</v>
      </c>
      <c r="H19" s="764">
        <f t="shared" si="2"/>
        <v>1413.5200070820974</v>
      </c>
      <c r="I19" s="99"/>
      <c r="J19" s="761">
        <f t="shared" si="3"/>
        <v>-25</v>
      </c>
      <c r="K19" s="763">
        <f t="shared" si="7"/>
        <v>1524.3081051493505</v>
      </c>
      <c r="L19" s="763">
        <f t="shared" si="4"/>
        <v>78.523594342217649</v>
      </c>
      <c r="M19" s="765">
        <f t="shared" si="5"/>
        <v>1627.8316994915681</v>
      </c>
      <c r="N19" s="99"/>
      <c r="O19" s="761"/>
      <c r="P19" s="772" t="s">
        <v>373</v>
      </c>
      <c r="Q19" s="353"/>
      <c r="R19" s="764">
        <f>-$U$13*R17</f>
        <v>-256.08759317312246</v>
      </c>
      <c r="U19" s="66"/>
      <c r="W19" s="68" t="s">
        <v>124</v>
      </c>
    </row>
    <row r="20" spans="1:23" s="62" customFormat="1" x14ac:dyDescent="0.3">
      <c r="A20" s="112"/>
      <c r="B20" s="112"/>
      <c r="C20" s="113">
        <v>8</v>
      </c>
      <c r="E20" s="761">
        <f>H$22</f>
        <v>1188.1291617832076</v>
      </c>
      <c r="F20" s="768">
        <f t="shared" si="6"/>
        <v>1413.5200070820974</v>
      </c>
      <c r="G20" s="769">
        <f t="shared" si="1"/>
        <v>71.64144514691192</v>
      </c>
      <c r="H20" s="770">
        <f>SUM(F20:G20)</f>
        <v>1485.1614522290095</v>
      </c>
      <c r="I20" s="99"/>
      <c r="J20" s="761">
        <f>M$22</f>
        <v>1368.2680846049884</v>
      </c>
      <c r="K20" s="769">
        <f t="shared" si="7"/>
        <v>1627.8316994915681</v>
      </c>
      <c r="L20" s="769">
        <f>K20*$U$12</f>
        <v>82.503406264667234</v>
      </c>
      <c r="M20" s="773">
        <f>SUM(K20:L20)</f>
        <v>1710.3351057562354</v>
      </c>
      <c r="N20" s="99"/>
      <c r="O20" s="774"/>
      <c r="P20" s="775" t="s">
        <v>372</v>
      </c>
      <c r="Q20" s="143"/>
      <c r="R20" s="776">
        <f>SUM(R17:R19)</f>
        <v>896.30657610592857</v>
      </c>
      <c r="U20" s="66"/>
    </row>
    <row r="21" spans="1:23" s="62" customFormat="1" x14ac:dyDescent="0.3">
      <c r="A21" s="112"/>
      <c r="B21" s="112"/>
      <c r="C21" s="46"/>
      <c r="E21" s="735"/>
      <c r="F21" s="762"/>
      <c r="G21" s="777" t="s">
        <v>371</v>
      </c>
      <c r="H21" s="764">
        <f>-$U$13*H20</f>
        <v>-297.03229044580189</v>
      </c>
      <c r="I21" s="99"/>
      <c r="J21" s="735"/>
      <c r="K21" s="763"/>
      <c r="L21" s="778" t="s">
        <v>371</v>
      </c>
      <c r="M21" s="765">
        <f>-$U$13*M20</f>
        <v>-342.0670211512471</v>
      </c>
      <c r="N21" s="99"/>
      <c r="U21" s="66"/>
      <c r="W21" s="116" t="s">
        <v>99</v>
      </c>
    </row>
    <row r="22" spans="1:23" s="62" customFormat="1" x14ac:dyDescent="0.3">
      <c r="A22" s="112"/>
      <c r="B22" s="112"/>
      <c r="C22" s="46"/>
      <c r="E22" s="779"/>
      <c r="F22" s="780"/>
      <c r="G22" s="781" t="s">
        <v>372</v>
      </c>
      <c r="H22" s="776">
        <f>SUM(H20:H21)</f>
        <v>1188.1291617832076</v>
      </c>
      <c r="I22" s="99"/>
      <c r="J22" s="779"/>
      <c r="K22" s="782"/>
      <c r="L22" s="783" t="s">
        <v>372</v>
      </c>
      <c r="M22" s="784">
        <f>SUM(M20:M21)</f>
        <v>1368.2680846049884</v>
      </c>
      <c r="N22" s="99"/>
      <c r="U22" s="66"/>
      <c r="W22" s="68" t="s">
        <v>128</v>
      </c>
    </row>
    <row r="23" spans="1:23" s="62" customFormat="1" ht="7.2" customHeight="1" x14ac:dyDescent="0.3">
      <c r="A23" s="112"/>
      <c r="B23" s="112"/>
      <c r="C23" s="61"/>
      <c r="E23" s="61"/>
      <c r="F23" s="66"/>
      <c r="G23" s="66"/>
      <c r="H23" s="66"/>
      <c r="I23" s="99"/>
      <c r="J23" s="61"/>
      <c r="K23" s="66"/>
      <c r="L23" s="66"/>
      <c r="M23" s="66"/>
      <c r="N23" s="99"/>
      <c r="O23" s="61"/>
      <c r="P23" s="66"/>
      <c r="Q23" s="66"/>
      <c r="R23" s="66"/>
      <c r="U23" s="66"/>
    </row>
    <row r="24" spans="1:23" s="62" customFormat="1" ht="7.2" customHeight="1" x14ac:dyDescent="0.3">
      <c r="A24" s="112"/>
      <c r="B24" s="112"/>
      <c r="C24" s="924" t="s">
        <v>306</v>
      </c>
      <c r="E24" s="925" t="str">
        <f>"= "&amp;TEXT(H22,"#,###")&amp;" / (1 + "&amp;TEXT($U12,"0.0%")&amp;") ^ "&amp;TEXT(C20,"#,###")</f>
        <v>= 1,188 / (1 + 5.1%) ^ 8</v>
      </c>
      <c r="F24" s="926"/>
      <c r="G24" s="926"/>
      <c r="H24" s="929">
        <f>H22/(1+$U$12)^C20</f>
        <v>799.99999999999989</v>
      </c>
      <c r="I24" s="99"/>
      <c r="J24" s="925" t="str">
        <f>"= "&amp;TEXT(M22,"#,###")&amp;" / (1 + "&amp;TEXT($U12,"0.0%")&amp;") ^ "&amp;TEXT(C20,"#,###")</f>
        <v>= 1,368 / (1 + 5.1%) ^ 8</v>
      </c>
      <c r="K24" s="926"/>
      <c r="L24" s="926"/>
      <c r="M24" s="929">
        <f>M22/(1+$U$12)^C20</f>
        <v>921.29248476751025</v>
      </c>
      <c r="N24" s="99"/>
      <c r="O24" s="925" t="str">
        <f>"= "&amp;TEXT(R20,"#,###")&amp;" / (1 + "&amp;TEXT($U12,"0.0%")&amp;") ^ "&amp;TEXT(C17,"#,###")</f>
        <v>= 896 / (1 + 5.1%) ^ 5</v>
      </c>
      <c r="P24" s="926"/>
      <c r="Q24" s="926"/>
      <c r="R24" s="929">
        <f>R20/(1+$U$12)^C17</f>
        <v>699.99999999999989</v>
      </c>
      <c r="U24" s="66"/>
    </row>
    <row r="25" spans="1:23" s="62" customFormat="1" ht="7.2" customHeight="1" x14ac:dyDescent="0.3">
      <c r="A25" s="112"/>
      <c r="B25" s="112"/>
      <c r="C25" s="924"/>
      <c r="E25" s="927"/>
      <c r="F25" s="928"/>
      <c r="G25" s="928"/>
      <c r="H25" s="930"/>
      <c r="I25" s="99"/>
      <c r="J25" s="927"/>
      <c r="K25" s="928"/>
      <c r="L25" s="928"/>
      <c r="M25" s="930"/>
      <c r="O25" s="927"/>
      <c r="P25" s="928"/>
      <c r="Q25" s="928"/>
      <c r="R25" s="930"/>
      <c r="U25" s="66"/>
      <c r="W25" s="923" t="s">
        <v>105</v>
      </c>
    </row>
    <row r="26" spans="1:23" s="62" customFormat="1" ht="7.2" customHeight="1" x14ac:dyDescent="0.3">
      <c r="A26" s="112"/>
      <c r="B26" s="112"/>
      <c r="C26" s="931" t="s">
        <v>307</v>
      </c>
      <c r="E26" s="932" t="str">
        <f>"= −PV("&amp;TEXT($U$12,"0.0%")&amp;", "&amp;TEXT(C20,0)&amp;", "&amp;TEXT(G9,0)&amp;", "&amp;TEXT(H22,"####")&amp;")"</f>
        <v>= −PV(5.1%, 8, 0, 1188)</v>
      </c>
      <c r="F26" s="933"/>
      <c r="G26" s="933"/>
      <c r="H26" s="930">
        <f>-PV($U$12,C20,0,H22)</f>
        <v>799.99999999999989</v>
      </c>
      <c r="I26" s="99"/>
      <c r="J26" s="932" t="str">
        <f>"= −PV("&amp;TEXT($U$12,"0.0%")&amp;", "&amp;TEXT(C20,0)&amp;", "&amp;TEXT(L9,0)&amp;", "&amp;TEXT(M22,"####")&amp;")"</f>
        <v>= −PV(5.1%, 8, 25, 1368)</v>
      </c>
      <c r="K26" s="933"/>
      <c r="L26" s="933"/>
      <c r="M26" s="930">
        <f>-PV($U$12,C20,0,M22)</f>
        <v>921.29248476751025</v>
      </c>
      <c r="N26" s="99"/>
      <c r="O26" s="932" t="str">
        <f>"= −PV("&amp;TEXT($U$12,"0.0%")&amp;", "&amp;TEXT(C17,0)&amp;", "&amp;TEXT(Q9,0)&amp;", "&amp;TEXT(R20,"####")&amp;")"</f>
        <v>= −PV(5.1%, 5, 0, 896)</v>
      </c>
      <c r="P26" s="933"/>
      <c r="Q26" s="933"/>
      <c r="R26" s="930">
        <f>-PV($U$12,C17,0,R20)</f>
        <v>699.99999999999989</v>
      </c>
      <c r="U26" s="66"/>
      <c r="W26" s="923"/>
    </row>
    <row r="27" spans="1:23" s="62" customFormat="1" ht="7.2" customHeight="1" x14ac:dyDescent="0.3">
      <c r="A27" s="112"/>
      <c r="B27" s="112"/>
      <c r="C27" s="931"/>
      <c r="E27" s="932"/>
      <c r="F27" s="933"/>
      <c r="G27" s="933"/>
      <c r="H27" s="930"/>
      <c r="I27" s="99"/>
      <c r="J27" s="932"/>
      <c r="K27" s="933"/>
      <c r="L27" s="933"/>
      <c r="M27" s="930"/>
      <c r="O27" s="932"/>
      <c r="P27" s="933"/>
      <c r="Q27" s="933"/>
      <c r="R27" s="930"/>
      <c r="U27" s="66"/>
      <c r="W27" s="922" t="s">
        <v>189</v>
      </c>
    </row>
    <row r="28" spans="1:23" s="62" customFormat="1" x14ac:dyDescent="0.3">
      <c r="A28" s="112"/>
      <c r="B28" s="112"/>
      <c r="C28" s="122" t="s">
        <v>308</v>
      </c>
      <c r="E28" s="132" t="str">
        <f>"= NPV( "&amp;TEXT($U$12,"0.0%")&amp;", "&amp;TEXT(E13,"0")&amp;":"&amp;TEXT(E19,0)&amp;") −"&amp;TEXT(-E12,"#,###")</f>
        <v>= NPV( 5.1%, 0:0) −1,000</v>
      </c>
      <c r="F28" s="25"/>
      <c r="G28" s="25"/>
      <c r="H28" s="785">
        <f>NPV($U$12,E13:E19)+E12</f>
        <v>-1000</v>
      </c>
      <c r="I28" s="99"/>
      <c r="J28" s="132" t="str">
        <f>"= NPV( "&amp;TEXT($U$12,"0.0%")&amp;", "&amp;TEXT(J13,"0")&amp;":"&amp;TEXT(J19,0)&amp;") -"&amp;TEXT(-J12,"#,###")</f>
        <v>= NPV( 5.1%, -25:-25) -1,000</v>
      </c>
      <c r="K28" s="25"/>
      <c r="L28" s="25"/>
      <c r="M28" s="785">
        <f>NPV($U$12,J13:J19)+J12</f>
        <v>-1144.3019491839223</v>
      </c>
      <c r="N28" s="99"/>
      <c r="O28" s="132" t="str">
        <f>"= NPV( "&amp;TEXT($U$12,"0.0%")&amp;", "&amp;TEXT(O13,"0")&amp;":"&amp;TEXT(O17,0)&amp;") −"&amp;TEXT(-O12,"#,###")</f>
        <v>= NPV( 5.1%, 0:896) −1,000</v>
      </c>
      <c r="P28" s="25"/>
      <c r="Q28" s="25"/>
      <c r="R28" s="785">
        <f>NPV($U$12,O13:O17)+O12</f>
        <v>-300.00000000000011</v>
      </c>
      <c r="U28" s="66"/>
      <c r="W28" s="922"/>
    </row>
    <row r="29" spans="1:23" s="62" customFormat="1" x14ac:dyDescent="0.3">
      <c r="A29" s="112"/>
      <c r="B29" s="112"/>
      <c r="C29" s="123" t="s">
        <v>97</v>
      </c>
      <c r="D29" s="67"/>
      <c r="E29" s="133"/>
      <c r="F29" s="134"/>
      <c r="G29" s="135"/>
      <c r="H29" s="786">
        <f>SUM(H26:H28)</f>
        <v>-200.00000000000011</v>
      </c>
      <c r="I29" s="99"/>
      <c r="J29" s="133"/>
      <c r="K29" s="134"/>
      <c r="L29" s="135"/>
      <c r="M29" s="786">
        <f>SUM(M26:M28)</f>
        <v>-223.00946441641202</v>
      </c>
      <c r="N29" s="99"/>
      <c r="O29" s="133"/>
      <c r="P29" s="134"/>
      <c r="Q29" s="135"/>
      <c r="R29" s="786">
        <f>SUM(R26:R28)</f>
        <v>399.99999999999977</v>
      </c>
    </row>
    <row r="30" spans="1:23" s="62" customFormat="1" x14ac:dyDescent="0.3">
      <c r="A30" s="104"/>
      <c r="B30" s="104"/>
      <c r="C30" s="121" t="s">
        <v>91</v>
      </c>
      <c r="D30" s="67"/>
      <c r="E30" s="136" t="str">
        <f>"= IRR (−"&amp;TEXT(E$12,"0;0")&amp;":"&amp;TEXT(E20,"0;-0")&amp;")"</f>
        <v>= IRR (−1000:1188)</v>
      </c>
      <c r="F30" s="137"/>
      <c r="G30" s="138"/>
      <c r="H30" s="787">
        <f>IRR(E12:E20)</f>
        <v>2.1781315760651454E-2</v>
      </c>
      <c r="I30" s="99"/>
      <c r="J30" s="136" t="str">
        <f>"= IRR (−"&amp;TEXT(J$12,"0;0")&amp;":"&amp;TEXT(J20,"0;-0")&amp;")"</f>
        <v>= IRR (−1000:1368)</v>
      </c>
      <c r="K30" s="137"/>
      <c r="L30" s="138"/>
      <c r="M30" s="787">
        <f>IRR(J12:J20)</f>
        <v>2.0705495600782609E-2</v>
      </c>
      <c r="N30" s="99"/>
      <c r="O30" s="136" t="str">
        <f>"= IRR (−"&amp;TEXT(O$12,"0;0")&amp;":"&amp;TEXT(O17,"0;-0")&amp;")"</f>
        <v>= IRR (−1000:896)</v>
      </c>
      <c r="P30" s="137"/>
      <c r="Q30" s="138"/>
      <c r="R30" s="787">
        <f>IRR(O12:O17)</f>
        <v>-2.1656606757192498E-2</v>
      </c>
      <c r="U30" s="66"/>
    </row>
    <row r="31" spans="1:23" s="126" customFormat="1" x14ac:dyDescent="0.3">
      <c r="A31" s="124"/>
      <c r="B31" s="124"/>
      <c r="C31" s="125" t="s">
        <v>305</v>
      </c>
      <c r="D31" s="116"/>
      <c r="E31" s="139"/>
      <c r="F31" s="138"/>
      <c r="G31" s="140"/>
      <c r="H31" s="788">
        <f>$U$12</f>
        <v>5.0683007518796994E-2</v>
      </c>
      <c r="I31" s="99"/>
      <c r="J31" s="139"/>
      <c r="K31" s="138"/>
      <c r="L31" s="140"/>
      <c r="M31" s="788">
        <f>$U$12</f>
        <v>5.0683007518796994E-2</v>
      </c>
      <c r="N31" s="99"/>
      <c r="O31" s="139"/>
      <c r="P31" s="138"/>
      <c r="Q31" s="140"/>
      <c r="R31" s="788">
        <f>$U$12</f>
        <v>5.0683007518796994E-2</v>
      </c>
      <c r="S31" s="62"/>
      <c r="U31" s="127"/>
    </row>
    <row r="32" spans="1:23" s="62" customFormat="1" x14ac:dyDescent="0.3">
      <c r="A32" s="124"/>
      <c r="B32" s="124"/>
      <c r="C32" s="120" t="s">
        <v>376</v>
      </c>
      <c r="D32" s="116"/>
      <c r="E32" s="141"/>
      <c r="F32" s="142"/>
      <c r="G32" s="142"/>
      <c r="H32" s="789">
        <f>(H30-H31)*100</f>
        <v>-2.8901691758145538</v>
      </c>
      <c r="I32" s="99"/>
      <c r="J32" s="141"/>
      <c r="K32" s="142"/>
      <c r="L32" s="142"/>
      <c r="M32" s="789">
        <f>(M30-M31)*100</f>
        <v>-2.9977511918014383</v>
      </c>
      <c r="N32" s="99"/>
      <c r="O32" s="141"/>
      <c r="P32" s="142"/>
      <c r="Q32" s="142"/>
      <c r="R32" s="789">
        <f>(R30-R31)*100</f>
        <v>-7.233961427598949</v>
      </c>
      <c r="S32" s="116"/>
      <c r="U32" s="66"/>
    </row>
    <row r="33" spans="1:23" s="62" customFormat="1" x14ac:dyDescent="0.3">
      <c r="A33" s="124"/>
      <c r="B33" s="124"/>
      <c r="I33" s="99"/>
      <c r="J33" s="116"/>
      <c r="K33" s="128"/>
      <c r="L33" s="128"/>
      <c r="M33" s="118"/>
      <c r="N33" s="99"/>
      <c r="O33" s="46"/>
      <c r="P33" s="129"/>
      <c r="Q33" s="129"/>
      <c r="R33" s="129"/>
      <c r="S33" s="116"/>
      <c r="U33" s="66"/>
    </row>
    <row r="34" spans="1:23" s="62" customFormat="1" x14ac:dyDescent="0.3">
      <c r="A34" s="112"/>
      <c r="B34" s="112"/>
      <c r="I34" s="99"/>
      <c r="S34" s="130"/>
      <c r="U34" s="66"/>
      <c r="V34" s="66"/>
    </row>
    <row r="35" spans="1:23" s="67" customFormat="1" x14ac:dyDescent="0.3">
      <c r="A35" s="112"/>
      <c r="B35" s="112"/>
      <c r="I35" s="99"/>
      <c r="J35" s="62"/>
      <c r="K35" s="62"/>
      <c r="L35" s="62"/>
      <c r="M35" s="62"/>
      <c r="N35" s="62"/>
      <c r="O35" s="62"/>
      <c r="P35" s="62"/>
      <c r="Q35" s="62"/>
      <c r="R35" s="62"/>
      <c r="S35" s="128"/>
      <c r="U35" s="66"/>
      <c r="V35" s="66"/>
    </row>
    <row r="36" spans="1:23" s="67" customFormat="1" x14ac:dyDescent="0.3">
      <c r="A36" s="112"/>
      <c r="B36" s="112"/>
      <c r="C36" s="61"/>
      <c r="D36" s="118"/>
      <c r="E36" s="116"/>
      <c r="F36" s="128"/>
      <c r="G36" s="128"/>
      <c r="H36" s="118"/>
      <c r="I36" s="99"/>
      <c r="S36" s="128"/>
      <c r="U36" s="66"/>
      <c r="V36" s="66"/>
    </row>
    <row r="37" spans="1:23" x14ac:dyDescent="0.3">
      <c r="I37" s="99"/>
      <c r="N37" s="99"/>
      <c r="O37" s="46"/>
      <c r="W37" s="62"/>
    </row>
  </sheetData>
  <sheetProtection algorithmName="SHA-512" hashValue="yx3eoKE5rVZ/dyviXCJRQO49iEcE9GWccogjcAugfw480atiK0RZDgYM2pM+FQ4EWJXHzm6Q0WrWFjd8Lt0YRQ==" saltValue="zG//f0mZXXG3Vj4dooIXyw==" spinCount="100000" sheet="1" objects="1" scenarios="1" selectLockedCells="1" selectUnlockedCells="1"/>
  <mergeCells count="16">
    <mergeCell ref="W27:W28"/>
    <mergeCell ref="W25:W26"/>
    <mergeCell ref="C24:C25"/>
    <mergeCell ref="E24:G25"/>
    <mergeCell ref="H24:H25"/>
    <mergeCell ref="C26:C27"/>
    <mergeCell ref="E26:G27"/>
    <mergeCell ref="H26:H27"/>
    <mergeCell ref="J24:L25"/>
    <mergeCell ref="M24:M25"/>
    <mergeCell ref="J26:L27"/>
    <mergeCell ref="M26:M27"/>
    <mergeCell ref="O24:Q25"/>
    <mergeCell ref="R24:R25"/>
    <mergeCell ref="O26:Q27"/>
    <mergeCell ref="R26:R27"/>
  </mergeCells>
  <phoneticPr fontId="8" type="noConversion"/>
  <printOptions horizontalCentered="1"/>
  <pageMargins left="0.5" right="0.5" top="0.75" bottom="0.5" header="0.3" footer="0.3"/>
  <pageSetup orientation="landscape" r:id="rId1"/>
  <headerFooter scaleWithDoc="0" alignWithMargins="0">
    <oddFooter>&amp;L401k Math&amp;RPage &amp;P of &amp;N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A00CD-1B33-45AF-9376-42847C59818E}">
  <sheetPr>
    <tabColor rgb="FFEBF1DE"/>
    <pageSetUpPr fitToPage="1"/>
  </sheetPr>
  <dimension ref="A1:AG104"/>
  <sheetViews>
    <sheetView showGridLines="0" showRowColHeaders="0" showZeros="0" zoomScaleNormal="100" zoomScaleSheetLayoutView="70" workbookViewId="0"/>
  </sheetViews>
  <sheetFormatPr defaultColWidth="9.109375" defaultRowHeight="14.4" x14ac:dyDescent="0.3"/>
  <cols>
    <col min="1" max="1" width="3.109375" style="401" customWidth="1"/>
    <col min="2" max="2" width="5.5546875" style="407" customWidth="1"/>
    <col min="3" max="3" width="13.21875" style="407" customWidth="1"/>
    <col min="4" max="4" width="9.77734375" style="413" bestFit="1" customWidth="1"/>
    <col min="5" max="5" width="16" style="407" customWidth="1"/>
    <col min="6" max="6" width="6.6640625" style="407" customWidth="1"/>
    <col min="7" max="7" width="12" style="404" customWidth="1"/>
    <col min="8" max="8" width="6.33203125" style="404" customWidth="1"/>
    <col min="9" max="9" width="6.5546875" style="404" customWidth="1"/>
    <col min="10" max="10" width="6.109375" style="404" bestFit="1" customWidth="1"/>
    <col min="11" max="11" width="14.5546875" style="404" customWidth="1"/>
    <col min="12" max="12" width="7" style="407" customWidth="1"/>
    <col min="13" max="13" width="4.33203125" style="430" customWidth="1"/>
    <col min="14" max="14" width="5.5546875" style="431" customWidth="1"/>
    <col min="15" max="15" width="1.5546875" style="432" customWidth="1"/>
    <col min="16" max="16" width="4.77734375" style="433" bestFit="1" customWidth="1"/>
    <col min="17" max="17" width="3.33203125" style="431" customWidth="1"/>
    <col min="18" max="18" width="5.5546875" style="431" customWidth="1"/>
    <col min="19" max="19" width="1.5546875" style="432" customWidth="1"/>
    <col min="20" max="20" width="4.77734375" style="433" bestFit="1" customWidth="1"/>
    <col min="21" max="21" width="3.33203125" style="431" customWidth="1"/>
    <col min="22" max="22" width="5.5546875" style="431" customWidth="1"/>
    <col min="23" max="23" width="1.5546875" style="432" customWidth="1"/>
    <col min="24" max="24" width="4.77734375" style="433" bestFit="1" customWidth="1"/>
    <col min="25" max="25" width="3.33203125" style="431" customWidth="1"/>
    <col min="26" max="27" width="2.77734375" style="431" customWidth="1"/>
    <col min="28" max="28" width="1.33203125" style="431" customWidth="1"/>
    <col min="29" max="29" width="2.109375" style="431" customWidth="1"/>
    <col min="30" max="30" width="2.44140625" style="432" customWidth="1"/>
    <col min="31" max="31" width="1.77734375" style="433" customWidth="1"/>
    <col min="32" max="16384" width="9.109375" style="423"/>
  </cols>
  <sheetData>
    <row r="1" spans="1:33" s="70" customFormat="1" ht="8.4" customHeight="1" x14ac:dyDescent="0.2">
      <c r="A1" s="69" t="s">
        <v>60</v>
      </c>
      <c r="E1" s="71"/>
      <c r="H1" s="170"/>
      <c r="W1" s="72"/>
    </row>
    <row r="2" spans="1:33" s="171" customFormat="1" ht="23.4" x14ac:dyDescent="0.45">
      <c r="A2" s="73"/>
      <c r="C2" s="74" t="s">
        <v>93</v>
      </c>
      <c r="D2" s="374"/>
      <c r="E2" s="76"/>
      <c r="F2" s="76"/>
      <c r="G2" s="375"/>
      <c r="H2" s="77"/>
      <c r="I2" s="77"/>
      <c r="J2" s="77"/>
      <c r="K2" s="77"/>
      <c r="L2" s="76"/>
      <c r="N2" s="73"/>
      <c r="O2" s="73"/>
      <c r="P2" s="229"/>
      <c r="Q2" s="73"/>
      <c r="R2" s="73"/>
      <c r="S2" s="73"/>
      <c r="T2" s="229"/>
      <c r="U2" s="73"/>
      <c r="V2" s="73"/>
      <c r="W2" s="73"/>
      <c r="X2" s="229"/>
      <c r="Y2" s="73"/>
      <c r="Z2" s="73"/>
      <c r="AA2" s="73"/>
      <c r="AB2" s="73"/>
      <c r="AC2" s="73"/>
      <c r="AD2" s="73"/>
      <c r="AE2" s="229"/>
    </row>
    <row r="3" spans="1:33" s="80" customFormat="1" ht="18" x14ac:dyDescent="0.35">
      <c r="A3" s="78"/>
      <c r="C3" s="79" t="s">
        <v>233</v>
      </c>
      <c r="D3" s="376"/>
      <c r="E3" s="377"/>
      <c r="F3" s="81"/>
      <c r="G3" s="81"/>
      <c r="H3" s="82"/>
      <c r="I3" s="82"/>
      <c r="J3" s="82"/>
      <c r="K3" s="82"/>
      <c r="L3" s="81"/>
      <c r="N3" s="81"/>
      <c r="O3" s="81"/>
      <c r="P3" s="82"/>
      <c r="Q3" s="81"/>
      <c r="R3" s="81"/>
      <c r="S3" s="81"/>
      <c r="T3" s="82"/>
      <c r="U3" s="81"/>
      <c r="V3" s="81"/>
      <c r="W3" s="81"/>
      <c r="X3" s="82"/>
      <c r="Y3" s="81"/>
      <c r="Z3" s="81"/>
      <c r="AA3" s="81"/>
      <c r="AB3" s="81"/>
      <c r="AC3" s="81"/>
      <c r="AD3" s="81"/>
      <c r="AE3" s="82"/>
    </row>
    <row r="4" spans="1:33" s="88" customFormat="1" x14ac:dyDescent="0.3">
      <c r="A4" s="84"/>
      <c r="C4" s="85"/>
      <c r="D4" s="85"/>
      <c r="E4" s="86"/>
      <c r="G4" s="87"/>
      <c r="H4" s="86"/>
      <c r="I4" s="86"/>
      <c r="J4" s="86"/>
      <c r="K4" s="86"/>
      <c r="M4" s="92"/>
      <c r="N4" s="84"/>
      <c r="O4" s="84"/>
      <c r="Q4" s="84"/>
      <c r="R4" s="84"/>
      <c r="S4" s="84"/>
      <c r="U4" s="84"/>
      <c r="V4" s="84"/>
      <c r="W4" s="84"/>
      <c r="Y4" s="84"/>
      <c r="Z4" s="84"/>
      <c r="AA4" s="84"/>
      <c r="AB4" s="84"/>
      <c r="AC4" s="84"/>
      <c r="AD4" s="84"/>
    </row>
    <row r="5" spans="1:33" s="88" customFormat="1" ht="15.6" x14ac:dyDescent="0.3">
      <c r="A5" s="84"/>
      <c r="C5" s="89" t="s">
        <v>218</v>
      </c>
      <c r="D5" s="185"/>
      <c r="E5" s="185"/>
      <c r="F5" s="185"/>
      <c r="G5" s="86"/>
      <c r="H5" s="86"/>
      <c r="I5" s="86"/>
      <c r="J5" s="86"/>
      <c r="K5" s="86"/>
      <c r="L5" s="185"/>
      <c r="M5" s="86"/>
      <c r="N5" s="378"/>
      <c r="O5" s="84"/>
      <c r="P5" s="87"/>
      <c r="Q5" s="84"/>
      <c r="R5" s="84"/>
      <c r="S5" s="84"/>
      <c r="T5" s="87"/>
      <c r="U5" s="84"/>
      <c r="V5" s="84"/>
      <c r="W5" s="84"/>
      <c r="Y5" s="84"/>
      <c r="Z5" s="84"/>
      <c r="AA5" s="84"/>
      <c r="AB5" s="84"/>
      <c r="AC5" s="84"/>
      <c r="AD5" s="84"/>
    </row>
    <row r="6" spans="1:33" s="88" customFormat="1" ht="9.6" customHeight="1" x14ac:dyDescent="0.3">
      <c r="A6" s="84"/>
      <c r="E6" s="92"/>
      <c r="F6" s="93"/>
      <c r="L6" s="93"/>
      <c r="M6" s="94"/>
      <c r="N6" s="379"/>
      <c r="O6" s="84"/>
      <c r="P6" s="380"/>
      <c r="Q6" s="378"/>
      <c r="R6" s="84"/>
      <c r="S6" s="84"/>
      <c r="U6" s="378"/>
      <c r="V6" s="84"/>
      <c r="W6" s="84"/>
      <c r="Y6" s="378"/>
      <c r="Z6" s="84"/>
      <c r="AA6" s="84"/>
      <c r="AB6" s="84"/>
      <c r="AC6" s="84"/>
      <c r="AD6" s="84"/>
    </row>
    <row r="7" spans="1:33" s="382" customFormat="1" ht="16.2" customHeight="1" x14ac:dyDescent="0.3">
      <c r="A7" s="381"/>
      <c r="C7" s="383" t="s">
        <v>262</v>
      </c>
      <c r="D7" s="384"/>
      <c r="F7" s="385"/>
      <c r="G7" s="386" t="s">
        <v>229</v>
      </c>
      <c r="L7" s="385"/>
      <c r="M7" s="387" t="s">
        <v>314</v>
      </c>
      <c r="N7" s="381"/>
      <c r="O7" s="381"/>
      <c r="P7" s="384"/>
      <c r="Q7" s="381"/>
      <c r="R7" s="381"/>
      <c r="S7" s="381"/>
      <c r="T7" s="384"/>
      <c r="U7" s="381"/>
      <c r="V7" s="381"/>
      <c r="W7" s="381"/>
      <c r="X7" s="384"/>
      <c r="Y7" s="381"/>
      <c r="Z7" s="381"/>
      <c r="AA7" s="381"/>
      <c r="AB7" s="381"/>
      <c r="AC7" s="381"/>
      <c r="AD7" s="381"/>
      <c r="AE7" s="384"/>
    </row>
    <row r="8" spans="1:33" s="389" customFormat="1" ht="13.8" x14ac:dyDescent="0.3">
      <c r="A8" s="388"/>
      <c r="D8" s="390" t="s">
        <v>112</v>
      </c>
      <c r="E8" s="391" t="s">
        <v>23</v>
      </c>
      <c r="G8" s="392" t="s">
        <v>84</v>
      </c>
      <c r="H8" s="393"/>
      <c r="I8" s="393"/>
      <c r="J8" s="393"/>
      <c r="K8" s="393"/>
      <c r="M8" s="392" t="s">
        <v>101</v>
      </c>
      <c r="N8" s="388"/>
      <c r="R8" s="388"/>
      <c r="V8" s="388"/>
      <c r="AF8" s="394"/>
      <c r="AG8" s="394"/>
    </row>
    <row r="9" spans="1:33" s="394" customFormat="1" ht="13.8" x14ac:dyDescent="0.3">
      <c r="A9" s="395"/>
      <c r="C9" s="396" t="s">
        <v>286</v>
      </c>
      <c r="D9" s="394" t="s">
        <v>79</v>
      </c>
      <c r="E9" s="394" t="s">
        <v>78</v>
      </c>
      <c r="G9" s="397" t="s">
        <v>313</v>
      </c>
      <c r="H9" s="398"/>
      <c r="I9" s="398"/>
      <c r="J9" s="398"/>
      <c r="K9" s="399"/>
      <c r="M9" s="588" t="s">
        <v>310</v>
      </c>
      <c r="N9" s="395"/>
      <c r="R9" s="395"/>
      <c r="V9" s="395"/>
    </row>
    <row r="10" spans="1:33" s="394" customFormat="1" x14ac:dyDescent="0.3">
      <c r="A10" s="395"/>
      <c r="C10" s="396"/>
      <c r="D10" s="394" t="s">
        <v>110</v>
      </c>
      <c r="E10" s="394" t="s">
        <v>104</v>
      </c>
      <c r="G10" s="400" t="s">
        <v>290</v>
      </c>
      <c r="H10" s="398"/>
      <c r="I10" s="398"/>
      <c r="J10" s="398"/>
      <c r="K10" s="399"/>
      <c r="M10" s="407"/>
      <c r="N10" s="401"/>
      <c r="O10" s="401"/>
      <c r="P10" s="404"/>
      <c r="Q10" s="401"/>
      <c r="R10" s="402"/>
      <c r="S10" s="403"/>
      <c r="T10" s="403"/>
      <c r="U10" s="403"/>
      <c r="V10" s="402"/>
      <c r="W10" s="401"/>
      <c r="X10" s="404"/>
      <c r="Y10" s="403"/>
      <c r="Z10" s="403"/>
      <c r="AA10" s="403"/>
      <c r="AB10" s="403"/>
      <c r="AC10" s="403"/>
      <c r="AD10" s="403"/>
      <c r="AE10" s="589"/>
    </row>
    <row r="11" spans="1:33" s="394" customFormat="1" ht="13.8" x14ac:dyDescent="0.3">
      <c r="A11" s="395"/>
      <c r="C11" s="396"/>
      <c r="D11" s="394" t="s">
        <v>102</v>
      </c>
      <c r="E11" s="394" t="s">
        <v>103</v>
      </c>
      <c r="G11" s="400" t="s">
        <v>291</v>
      </c>
      <c r="H11" s="398"/>
      <c r="I11" s="398"/>
      <c r="J11" s="398"/>
      <c r="K11" s="405"/>
      <c r="M11" s="390" t="s">
        <v>69</v>
      </c>
      <c r="N11" s="388"/>
      <c r="O11" s="389"/>
      <c r="P11" s="389"/>
      <c r="Q11" s="389"/>
      <c r="R11" s="388"/>
      <c r="S11" s="389"/>
      <c r="T11" s="389"/>
      <c r="U11" s="389"/>
      <c r="V11" s="388"/>
      <c r="W11" s="389"/>
      <c r="X11" s="389"/>
      <c r="Y11" s="389"/>
      <c r="Z11" s="389"/>
      <c r="AA11" s="389"/>
      <c r="AB11" s="389"/>
      <c r="AC11" s="389"/>
      <c r="AD11" s="389"/>
      <c r="AE11" s="389"/>
    </row>
    <row r="12" spans="1:33" s="394" customFormat="1" ht="13.8" x14ac:dyDescent="0.3">
      <c r="A12" s="395"/>
      <c r="C12" s="392"/>
      <c r="G12" s="400" t="s">
        <v>292</v>
      </c>
      <c r="H12" s="398"/>
      <c r="I12" s="398"/>
      <c r="J12" s="398"/>
      <c r="K12" s="405"/>
      <c r="M12" s="406" t="s">
        <v>281</v>
      </c>
      <c r="N12" s="417"/>
      <c r="O12" s="406"/>
      <c r="P12" s="406"/>
      <c r="Q12" s="406" t="s">
        <v>77</v>
      </c>
      <c r="R12" s="417"/>
      <c r="S12" s="406"/>
      <c r="T12" s="406"/>
      <c r="U12" s="406" t="s">
        <v>78</v>
      </c>
      <c r="V12" s="417"/>
      <c r="W12" s="406"/>
      <c r="X12" s="406"/>
      <c r="Y12" s="406" t="s">
        <v>12</v>
      </c>
      <c r="Z12" s="406"/>
      <c r="AA12" s="406"/>
      <c r="AB12" s="406"/>
      <c r="AC12" s="406"/>
      <c r="AD12" s="406"/>
      <c r="AE12" s="406"/>
    </row>
    <row r="13" spans="1:33" s="394" customFormat="1" ht="13.8" x14ac:dyDescent="0.3">
      <c r="A13" s="395"/>
      <c r="C13" s="396" t="s">
        <v>298</v>
      </c>
      <c r="D13" s="406" t="s">
        <v>107</v>
      </c>
      <c r="E13" s="406" t="s">
        <v>108</v>
      </c>
      <c r="G13" s="397" t="s">
        <v>311</v>
      </c>
      <c r="H13" s="398"/>
      <c r="I13" s="398"/>
      <c r="J13" s="398"/>
      <c r="K13" s="405"/>
      <c r="M13" s="939" t="s">
        <v>279</v>
      </c>
      <c r="N13" s="790">
        <f>Financials!$J$18</f>
        <v>850</v>
      </c>
      <c r="O13" s="937" t="s">
        <v>280</v>
      </c>
      <c r="P13" s="945">
        <f>S22</f>
        <v>4.7771428571428569E-2</v>
      </c>
      <c r="Q13" s="791"/>
      <c r="R13" s="792">
        <f>Financials!$J$20</f>
        <v>1800</v>
      </c>
      <c r="S13" s="937" t="s">
        <v>280</v>
      </c>
      <c r="T13" s="943">
        <f>S21</f>
        <v>6.2771428571428561E-2</v>
      </c>
      <c r="U13" s="791"/>
      <c r="V13" s="792">
        <f>Financials!$J$23</f>
        <v>500</v>
      </c>
      <c r="W13" s="937" t="s">
        <v>280</v>
      </c>
      <c r="X13" s="943">
        <f>S20</f>
        <v>4.1500000000000002E-2</v>
      </c>
      <c r="Y13" s="791"/>
      <c r="Z13" s="941">
        <f>Financials!$J$24</f>
        <v>1600</v>
      </c>
      <c r="AA13" s="941"/>
      <c r="AB13" s="937" t="s">
        <v>278</v>
      </c>
      <c r="AC13" s="943">
        <f>$S$19</f>
        <v>4.1500000000000002E-2</v>
      </c>
      <c r="AD13" s="943"/>
      <c r="AE13" s="793"/>
    </row>
    <row r="14" spans="1:33" s="394" customFormat="1" ht="13.8" x14ac:dyDescent="0.3">
      <c r="A14" s="395"/>
      <c r="C14" s="396"/>
      <c r="G14" s="397" t="s">
        <v>312</v>
      </c>
      <c r="H14" s="398"/>
      <c r="I14" s="398"/>
      <c r="J14" s="398"/>
      <c r="K14" s="405"/>
      <c r="M14" s="940"/>
      <c r="N14" s="794">
        <f>(Financials!$J$27-Financials!$J$25-Financials!$J$17)</f>
        <v>4750</v>
      </c>
      <c r="O14" s="938"/>
      <c r="P14" s="946"/>
      <c r="Q14" s="795"/>
      <c r="R14" s="794">
        <f>(Financials!$J$27-Financials!$J$25-Financials!$J$17)</f>
        <v>4750</v>
      </c>
      <c r="S14" s="938"/>
      <c r="T14" s="944"/>
      <c r="U14" s="795"/>
      <c r="V14" s="794">
        <f>(Financials!$J$27-Financials!$J$25-Financials!$J$17)</f>
        <v>4750</v>
      </c>
      <c r="W14" s="938"/>
      <c r="X14" s="944"/>
      <c r="Y14" s="795"/>
      <c r="Z14" s="942">
        <f>(Financials!$J$27-Financials!$J$25-Financials!$J$17)</f>
        <v>4750</v>
      </c>
      <c r="AA14" s="942"/>
      <c r="AB14" s="938"/>
      <c r="AC14" s="944"/>
      <c r="AD14" s="944"/>
      <c r="AE14" s="796"/>
    </row>
    <row r="15" spans="1:33" s="394" customFormat="1" x14ac:dyDescent="0.3">
      <c r="A15" s="395"/>
      <c r="C15" s="392" t="s">
        <v>287</v>
      </c>
      <c r="D15" s="394" t="s">
        <v>34</v>
      </c>
      <c r="E15" s="394" t="s">
        <v>22</v>
      </c>
      <c r="M15" s="407"/>
      <c r="N15" s="401"/>
      <c r="O15" s="401"/>
      <c r="P15" s="404"/>
      <c r="Q15" s="401"/>
      <c r="R15" s="401"/>
      <c r="S15" s="401"/>
      <c r="T15" s="404"/>
      <c r="U15" s="401"/>
      <c r="V15" s="401"/>
      <c r="W15" s="401"/>
      <c r="X15" s="404"/>
      <c r="Y15" s="401"/>
      <c r="Z15" s="401"/>
      <c r="AA15" s="401"/>
      <c r="AB15" s="401"/>
      <c r="AC15" s="401"/>
      <c r="AD15" s="401"/>
      <c r="AE15" s="404"/>
      <c r="AF15" s="407"/>
      <c r="AG15" s="407"/>
    </row>
    <row r="16" spans="1:33" s="407" customFormat="1" x14ac:dyDescent="0.3">
      <c r="A16" s="395"/>
      <c r="B16" s="394"/>
      <c r="C16" s="408"/>
      <c r="E16" s="409" t="s">
        <v>127</v>
      </c>
      <c r="G16" s="392" t="s">
        <v>11</v>
      </c>
      <c r="H16" s="398" t="s">
        <v>294</v>
      </c>
      <c r="I16" s="398"/>
      <c r="J16" s="797">
        <v>1.1000000000000001</v>
      </c>
      <c r="K16" s="410"/>
      <c r="M16" s="390" t="s">
        <v>206</v>
      </c>
      <c r="N16" s="388"/>
      <c r="O16" s="389"/>
      <c r="P16" s="389"/>
      <c r="Q16" s="389"/>
      <c r="R16" s="388"/>
      <c r="S16" s="389"/>
      <c r="T16" s="389"/>
      <c r="U16" s="389"/>
      <c r="V16" s="388"/>
      <c r="W16" s="389"/>
      <c r="X16" s="389"/>
      <c r="Y16" s="389"/>
      <c r="Z16" s="389"/>
      <c r="AA16" s="389"/>
      <c r="AB16" s="389"/>
      <c r="AC16" s="389"/>
      <c r="AD16" s="389"/>
      <c r="AE16" s="389"/>
    </row>
    <row r="17" spans="1:33" s="407" customFormat="1" x14ac:dyDescent="0.3">
      <c r="A17" s="395"/>
      <c r="B17" s="394"/>
      <c r="C17" s="396"/>
      <c r="D17" s="406"/>
      <c r="E17" s="406"/>
      <c r="G17" s="411"/>
      <c r="H17" s="398" t="s">
        <v>85</v>
      </c>
      <c r="I17" s="398"/>
      <c r="J17" s="798">
        <v>2.5000000000000001E-2</v>
      </c>
      <c r="K17" s="410"/>
      <c r="M17" s="389"/>
      <c r="N17" s="388"/>
      <c r="O17" s="389"/>
      <c r="P17" s="389"/>
      <c r="Q17" s="389"/>
      <c r="R17" s="388"/>
      <c r="S17" s="389"/>
      <c r="T17" s="389"/>
      <c r="U17" s="389"/>
      <c r="V17" s="388"/>
      <c r="W17" s="389"/>
      <c r="X17" s="389"/>
      <c r="Y17" s="389"/>
      <c r="Z17" s="389"/>
      <c r="AA17" s="389"/>
      <c r="AB17" s="389"/>
      <c r="AC17" s="389"/>
      <c r="AD17" s="389"/>
      <c r="AE17" s="389"/>
    </row>
    <row r="18" spans="1:33" s="407" customFormat="1" x14ac:dyDescent="0.3">
      <c r="A18" s="395"/>
      <c r="B18" s="394"/>
      <c r="C18" s="412" t="s">
        <v>288</v>
      </c>
      <c r="D18" s="409" t="s">
        <v>111</v>
      </c>
      <c r="E18" s="409" t="s">
        <v>109</v>
      </c>
      <c r="G18" s="413"/>
      <c r="H18" s="398" t="s">
        <v>221</v>
      </c>
      <c r="I18" s="398"/>
      <c r="J18" s="799">
        <v>0.04</v>
      </c>
      <c r="K18" s="413"/>
      <c r="M18" s="590"/>
      <c r="N18" s="591"/>
      <c r="O18" s="590"/>
      <c r="P18" s="590"/>
      <c r="Q18" s="592"/>
      <c r="R18" s="592" t="s">
        <v>73</v>
      </c>
      <c r="S18" s="592" t="s">
        <v>48</v>
      </c>
      <c r="T18" s="592" t="s">
        <v>74</v>
      </c>
      <c r="U18" s="592"/>
      <c r="V18" s="402"/>
      <c r="W18" s="593"/>
      <c r="X18" s="594"/>
      <c r="Y18" s="402"/>
      <c r="Z18" s="402"/>
      <c r="AA18" s="402"/>
      <c r="AB18" s="402"/>
      <c r="AC18" s="402"/>
      <c r="AD18" s="593"/>
      <c r="AE18" s="404"/>
    </row>
    <row r="19" spans="1:33" s="407" customFormat="1" x14ac:dyDescent="0.3">
      <c r="A19" s="395"/>
      <c r="B19" s="394"/>
      <c r="C19" s="408"/>
      <c r="K19" s="414"/>
      <c r="M19" s="403"/>
      <c r="N19" s="402"/>
      <c r="O19" s="401"/>
      <c r="P19" s="595"/>
      <c r="Q19" s="592" t="s">
        <v>12</v>
      </c>
      <c r="R19" s="596">
        <f>T19*S19</f>
        <v>1.3978947368421053E-2</v>
      </c>
      <c r="S19" s="592">
        <f>H24</f>
        <v>4.1500000000000002E-2</v>
      </c>
      <c r="T19" s="592">
        <f>Financials!$J$24/(Financials!$J$27-Financials!$J$25-Financials!$J$17)</f>
        <v>0.33684210526315789</v>
      </c>
      <c r="U19" s="597">
        <v>20</v>
      </c>
      <c r="V19" s="401"/>
      <c r="X19" s="404"/>
      <c r="Y19" s="402"/>
      <c r="Z19" s="401"/>
      <c r="AA19" s="401"/>
      <c r="AB19" s="401"/>
      <c r="AC19" s="401"/>
      <c r="AD19" s="401"/>
      <c r="AE19" s="595"/>
    </row>
    <row r="20" spans="1:33" s="407" customFormat="1" x14ac:dyDescent="0.3">
      <c r="A20" s="395"/>
      <c r="B20" s="394"/>
      <c r="C20" s="396" t="s">
        <v>289</v>
      </c>
      <c r="D20" s="415" t="str">
        <f>"S/T = "&amp;TEXT(Financials!T8,"0.0%")</f>
        <v>S/T = 4.8%</v>
      </c>
      <c r="E20" s="416" t="s">
        <v>241</v>
      </c>
      <c r="G20" s="392" t="s">
        <v>101</v>
      </c>
      <c r="H20" s="411" t="s">
        <v>293</v>
      </c>
      <c r="I20" s="411"/>
      <c r="J20" s="391"/>
      <c r="K20" s="391"/>
      <c r="M20" s="403"/>
      <c r="N20" s="401"/>
      <c r="O20" s="401"/>
      <c r="P20" s="404"/>
      <c r="Q20" s="592" t="s">
        <v>78</v>
      </c>
      <c r="R20" s="592">
        <f>T20*S20</f>
        <v>4.3684210526315787E-3</v>
      </c>
      <c r="S20" s="592">
        <f>H24</f>
        <v>4.1500000000000002E-2</v>
      </c>
      <c r="T20" s="592">
        <f>Financials!$J$23/(Financials!$J$27-Financials!$J$25-Financials!$J$17)</f>
        <v>0.10526315789473684</v>
      </c>
      <c r="U20" s="597">
        <v>20</v>
      </c>
      <c r="V20" s="401"/>
      <c r="X20" s="404"/>
      <c r="Y20" s="401"/>
      <c r="Z20" s="402"/>
      <c r="AA20" s="402"/>
      <c r="AB20" s="402"/>
      <c r="AC20" s="402"/>
      <c r="AD20" s="401"/>
      <c r="AE20" s="404"/>
    </row>
    <row r="21" spans="1:33" s="407" customFormat="1" x14ac:dyDescent="0.3">
      <c r="A21" s="395"/>
      <c r="B21" s="394"/>
      <c r="C21" s="415"/>
      <c r="D21" s="409" t="str">
        <f>"L/T = "&amp;TEXT(Financials!T9,"0.0%")</f>
        <v>L/T = 6.3%</v>
      </c>
      <c r="N21" s="401"/>
      <c r="O21" s="401"/>
      <c r="P21" s="404"/>
      <c r="Q21" s="592" t="s">
        <v>77</v>
      </c>
      <c r="R21" s="592">
        <f>T21*S21</f>
        <v>2.3787067669172931E-2</v>
      </c>
      <c r="S21" s="592">
        <f>Financials!$T$9</f>
        <v>6.2771428571428561E-2</v>
      </c>
      <c r="T21" s="592">
        <f>Financials!$J$20/(Financials!$J$27-Financials!$J$25-Financials!$J$17)</f>
        <v>0.37894736842105264</v>
      </c>
      <c r="U21" s="597">
        <v>20</v>
      </c>
      <c r="V21" s="402"/>
      <c r="W21" s="401"/>
      <c r="X21" s="404"/>
      <c r="Y21" s="401"/>
      <c r="Z21" s="401"/>
      <c r="AA21" s="401"/>
      <c r="AB21" s="401"/>
      <c r="AC21" s="401"/>
      <c r="AD21" s="401"/>
      <c r="AE21" s="404"/>
    </row>
    <row r="22" spans="1:33" s="407" customFormat="1" x14ac:dyDescent="0.3">
      <c r="A22" s="417"/>
      <c r="B22" s="394"/>
      <c r="C22" s="418"/>
      <c r="E22" s="409"/>
      <c r="G22" s="392" t="s">
        <v>69</v>
      </c>
      <c r="H22" s="419" t="str">
        <f>"= "&amp;TEXT(J17,"0.0%")&amp;" + "&amp;TEXT( J16,"0.0")&amp;" * ("&amp;TEXT(J18,"0.0%")&amp;"−"&amp;TEXT(J17,"0.0%")&amp;")"</f>
        <v>= 2.5% + 1.1 * (4.0%−2.5%)</v>
      </c>
      <c r="I22" s="419"/>
      <c r="K22" s="414"/>
      <c r="N22" s="401"/>
      <c r="O22" s="401"/>
      <c r="P22" s="404"/>
      <c r="Q22" s="592" t="s">
        <v>76</v>
      </c>
      <c r="R22" s="592">
        <f>T22*S22</f>
        <v>8.5485714285714279E-3</v>
      </c>
      <c r="S22" s="592">
        <f>Financials!$T$8</f>
        <v>4.7771428571428569E-2</v>
      </c>
      <c r="T22" s="592">
        <f>Financials!$J$18/(Financials!$J$27-Financials!$J$25-Financials!$J$17)</f>
        <v>0.17894736842105263</v>
      </c>
      <c r="U22" s="597">
        <v>20</v>
      </c>
      <c r="V22" s="401"/>
      <c r="W22" s="401"/>
      <c r="X22" s="404"/>
      <c r="Y22" s="401"/>
      <c r="Z22" s="402"/>
      <c r="AA22" s="402"/>
      <c r="AB22" s="402"/>
      <c r="AC22" s="402"/>
      <c r="AD22" s="401"/>
      <c r="AE22" s="595"/>
    </row>
    <row r="23" spans="1:33" s="407" customFormat="1" x14ac:dyDescent="0.3">
      <c r="A23" s="417"/>
      <c r="B23" s="394"/>
      <c r="C23" s="420"/>
      <c r="D23" s="409"/>
      <c r="F23" s="403"/>
      <c r="K23" s="414"/>
      <c r="L23" s="403"/>
      <c r="M23" s="403"/>
      <c r="N23" s="401"/>
      <c r="O23" s="401"/>
      <c r="P23" s="404"/>
      <c r="Q23" s="401"/>
      <c r="R23" s="401"/>
      <c r="V23" s="401"/>
      <c r="W23" s="401"/>
      <c r="X23" s="404"/>
      <c r="Y23" s="401"/>
      <c r="Z23" s="402"/>
      <c r="AA23" s="402"/>
      <c r="AB23" s="402"/>
      <c r="AC23" s="402"/>
      <c r="AD23" s="401"/>
      <c r="AE23" s="404"/>
      <c r="AF23" s="403"/>
      <c r="AG23" s="403"/>
    </row>
    <row r="24" spans="1:33" s="403" customFormat="1" x14ac:dyDescent="0.3">
      <c r="A24" s="395"/>
      <c r="B24" s="394"/>
      <c r="G24" s="392" t="s">
        <v>9</v>
      </c>
      <c r="H24" s="800">
        <f>J17+J16*(J18-J17)</f>
        <v>4.1500000000000002E-2</v>
      </c>
      <c r="I24" s="589"/>
      <c r="J24" s="407"/>
      <c r="M24" s="407"/>
      <c r="N24" s="401"/>
      <c r="O24" s="401"/>
      <c r="P24" s="404"/>
      <c r="Q24" s="401"/>
      <c r="R24" s="401"/>
      <c r="S24" s="407"/>
      <c r="T24" s="407"/>
      <c r="U24" s="407"/>
      <c r="V24" s="401"/>
      <c r="W24" s="401"/>
      <c r="X24" s="404"/>
      <c r="Y24" s="401"/>
      <c r="Z24" s="401"/>
      <c r="AA24" s="401"/>
      <c r="AB24" s="401"/>
      <c r="AC24" s="401"/>
      <c r="AD24" s="401"/>
      <c r="AE24" s="404"/>
    </row>
    <row r="25" spans="1:33" s="403" customFormat="1" x14ac:dyDescent="0.3">
      <c r="A25" s="417"/>
      <c r="C25" s="409"/>
      <c r="D25" s="409"/>
      <c r="E25" s="409"/>
      <c r="M25" s="407"/>
      <c r="N25" s="401"/>
      <c r="O25" s="401"/>
      <c r="P25" s="404"/>
      <c r="Q25" s="401"/>
      <c r="R25" s="402"/>
      <c r="V25" s="402"/>
      <c r="W25" s="401"/>
      <c r="X25" s="404"/>
      <c r="Y25" s="401"/>
      <c r="AA25" s="934">
        <f>N13/N14*P13   +   R13/R14*T13   +   V13/V14*X13   +   Z13/Z14*AC13</f>
        <v>5.0683007518796994E-2</v>
      </c>
      <c r="AB25" s="935"/>
      <c r="AC25" s="936"/>
      <c r="AD25" s="407"/>
      <c r="AE25" s="407"/>
    </row>
    <row r="26" spans="1:33" s="403" customFormat="1" x14ac:dyDescent="0.3">
      <c r="A26" s="395"/>
      <c r="B26" s="394"/>
      <c r="C26" s="394"/>
      <c r="D26" s="421"/>
      <c r="E26" s="422"/>
      <c r="F26" s="407"/>
      <c r="L26" s="407"/>
      <c r="M26" s="423"/>
      <c r="N26" s="424"/>
      <c r="O26" s="401"/>
      <c r="P26" s="421"/>
      <c r="Q26" s="424"/>
      <c r="R26" s="424"/>
      <c r="S26" s="401"/>
      <c r="T26" s="404"/>
      <c r="U26" s="424"/>
      <c r="V26" s="401"/>
      <c r="W26" s="401"/>
      <c r="X26" s="404"/>
      <c r="Y26" s="424"/>
      <c r="Z26" s="401"/>
      <c r="AA26" s="401"/>
      <c r="AB26" s="401"/>
      <c r="AC26" s="401"/>
      <c r="AD26" s="401"/>
      <c r="AE26" s="404"/>
      <c r="AF26" s="407"/>
      <c r="AG26" s="407"/>
    </row>
    <row r="27" spans="1:33" s="407" customFormat="1" x14ac:dyDescent="0.3">
      <c r="A27" s="417"/>
      <c r="B27" s="394"/>
      <c r="E27" s="413"/>
      <c r="M27" s="425"/>
      <c r="N27" s="426"/>
      <c r="O27" s="401"/>
      <c r="P27" s="427"/>
      <c r="Q27" s="401"/>
      <c r="R27" s="428"/>
      <c r="S27" s="401"/>
      <c r="T27" s="427"/>
      <c r="U27" s="401"/>
      <c r="V27" s="429"/>
      <c r="W27" s="401"/>
      <c r="X27" s="427"/>
      <c r="Y27" s="401"/>
      <c r="Z27" s="424"/>
      <c r="AA27" s="424"/>
      <c r="AB27" s="424"/>
      <c r="AC27" s="424"/>
      <c r="AD27" s="401"/>
      <c r="AE27" s="421"/>
    </row>
    <row r="28" spans="1:33" s="407" customFormat="1" x14ac:dyDescent="0.3">
      <c r="A28" s="417"/>
      <c r="B28" s="406"/>
      <c r="M28" s="430"/>
      <c r="N28" s="431"/>
      <c r="O28" s="432"/>
      <c r="P28" s="433"/>
      <c r="Q28" s="431"/>
      <c r="R28" s="431"/>
      <c r="S28" s="432"/>
      <c r="T28" s="433"/>
      <c r="U28" s="431"/>
      <c r="V28" s="431"/>
      <c r="W28" s="432"/>
      <c r="X28" s="433"/>
      <c r="Y28" s="431"/>
      <c r="Z28" s="424"/>
      <c r="AA28" s="424"/>
      <c r="AB28" s="424"/>
      <c r="AC28" s="424"/>
      <c r="AD28" s="432"/>
      <c r="AE28" s="421"/>
    </row>
    <row r="29" spans="1:33" s="407" customFormat="1" x14ac:dyDescent="0.3">
      <c r="A29" s="395"/>
      <c r="B29" s="394"/>
      <c r="E29" s="406"/>
      <c r="J29" s="598"/>
      <c r="K29" s="434"/>
      <c r="M29" s="430"/>
      <c r="N29" s="431"/>
      <c r="O29" s="432"/>
      <c r="P29" s="433"/>
      <c r="Q29" s="431"/>
      <c r="R29" s="431"/>
      <c r="S29" s="432"/>
      <c r="T29" s="433"/>
      <c r="U29" s="431"/>
      <c r="V29" s="431"/>
      <c r="W29" s="432"/>
      <c r="X29" s="433"/>
      <c r="Y29" s="431"/>
      <c r="Z29" s="431"/>
      <c r="AA29" s="431"/>
      <c r="AB29" s="431"/>
      <c r="AC29" s="431"/>
      <c r="AD29" s="432"/>
      <c r="AE29" s="433"/>
    </row>
    <row r="30" spans="1:33" s="407" customFormat="1" x14ac:dyDescent="0.3">
      <c r="A30" s="395"/>
      <c r="E30" s="413"/>
      <c r="K30" s="434"/>
      <c r="M30" s="430"/>
      <c r="N30" s="431"/>
      <c r="O30" s="432"/>
      <c r="P30" s="433"/>
      <c r="Q30" s="431"/>
      <c r="R30" s="431"/>
      <c r="S30" s="432"/>
      <c r="T30" s="433"/>
      <c r="U30" s="431"/>
      <c r="V30" s="431"/>
      <c r="W30" s="432"/>
      <c r="X30" s="433"/>
      <c r="Y30" s="431"/>
      <c r="Z30" s="431"/>
      <c r="AA30" s="431"/>
      <c r="AB30" s="431"/>
      <c r="AC30" s="431"/>
      <c r="AD30" s="432"/>
      <c r="AE30" s="433"/>
    </row>
    <row r="31" spans="1:33" s="407" customFormat="1" x14ac:dyDescent="0.3">
      <c r="A31" s="402"/>
      <c r="B31" s="403"/>
      <c r="C31" s="435"/>
      <c r="E31" s="413"/>
      <c r="K31" s="436"/>
      <c r="M31" s="430"/>
      <c r="N31" s="431"/>
      <c r="O31" s="432"/>
      <c r="P31" s="433"/>
      <c r="Q31" s="431"/>
      <c r="R31" s="431"/>
      <c r="S31" s="432"/>
      <c r="T31" s="433"/>
      <c r="U31" s="431"/>
      <c r="V31" s="431"/>
      <c r="W31" s="432"/>
      <c r="X31" s="433"/>
      <c r="Y31" s="431"/>
      <c r="Z31" s="431"/>
      <c r="AA31" s="431"/>
      <c r="AB31" s="431"/>
      <c r="AC31" s="431"/>
      <c r="AD31" s="432"/>
      <c r="AE31" s="433"/>
    </row>
    <row r="32" spans="1:33" s="407" customFormat="1" x14ac:dyDescent="0.3">
      <c r="A32" s="401"/>
      <c r="K32" s="436"/>
      <c r="M32" s="430"/>
      <c r="N32" s="431"/>
      <c r="O32" s="432"/>
      <c r="P32" s="433"/>
      <c r="Q32" s="431"/>
      <c r="R32" s="431"/>
      <c r="S32" s="432"/>
      <c r="T32" s="433"/>
      <c r="U32" s="431"/>
      <c r="V32" s="431"/>
      <c r="W32" s="432"/>
      <c r="X32" s="433"/>
      <c r="Y32" s="431"/>
      <c r="Z32" s="431"/>
      <c r="AA32" s="431"/>
      <c r="AB32" s="431"/>
      <c r="AC32" s="431"/>
      <c r="AD32" s="432"/>
      <c r="AE32" s="433"/>
    </row>
    <row r="33" spans="1:33" s="407" customFormat="1" x14ac:dyDescent="0.3">
      <c r="A33" s="401"/>
      <c r="K33" s="436"/>
      <c r="M33" s="430"/>
      <c r="N33" s="431"/>
      <c r="O33" s="432"/>
      <c r="P33" s="433"/>
      <c r="Q33" s="431"/>
      <c r="R33" s="431"/>
      <c r="S33" s="432"/>
      <c r="T33" s="433"/>
      <c r="U33" s="431"/>
      <c r="V33" s="431"/>
      <c r="W33" s="432"/>
      <c r="X33" s="433"/>
      <c r="Y33" s="431"/>
      <c r="Z33" s="431"/>
      <c r="AA33" s="431"/>
      <c r="AB33" s="431"/>
      <c r="AC33" s="431"/>
      <c r="AD33" s="432"/>
      <c r="AE33" s="433"/>
    </row>
    <row r="34" spans="1:33" s="407" customFormat="1" x14ac:dyDescent="0.3">
      <c r="A34" s="401"/>
      <c r="D34" s="413"/>
      <c r="K34" s="436"/>
      <c r="M34" s="430"/>
      <c r="N34" s="431"/>
      <c r="O34" s="432"/>
      <c r="P34" s="433"/>
      <c r="Q34" s="431"/>
      <c r="R34" s="431"/>
      <c r="S34" s="432"/>
      <c r="T34" s="433"/>
      <c r="U34" s="431"/>
      <c r="V34" s="431"/>
      <c r="W34" s="432"/>
      <c r="X34" s="433"/>
      <c r="Y34" s="431"/>
      <c r="Z34" s="431"/>
      <c r="AA34" s="431"/>
      <c r="AB34" s="431"/>
      <c r="AC34" s="431"/>
      <c r="AD34" s="432"/>
      <c r="AE34" s="433"/>
    </row>
    <row r="35" spans="1:33" s="407" customFormat="1" x14ac:dyDescent="0.3">
      <c r="A35" s="401"/>
      <c r="D35" s="413"/>
      <c r="K35" s="436"/>
      <c r="M35" s="430"/>
      <c r="N35" s="431"/>
      <c r="O35" s="432"/>
      <c r="P35" s="433"/>
      <c r="Q35" s="431"/>
      <c r="R35" s="431"/>
      <c r="S35" s="432"/>
      <c r="T35" s="433"/>
      <c r="U35" s="431"/>
      <c r="V35" s="431"/>
      <c r="W35" s="432"/>
      <c r="X35" s="433"/>
      <c r="Y35" s="431"/>
      <c r="Z35" s="431"/>
      <c r="AA35" s="431"/>
      <c r="AB35" s="431"/>
      <c r="AC35" s="431"/>
      <c r="AD35" s="432"/>
      <c r="AE35" s="433"/>
      <c r="AF35" s="423"/>
      <c r="AG35" s="423"/>
    </row>
    <row r="36" spans="1:33" x14ac:dyDescent="0.3">
      <c r="G36" s="407"/>
      <c r="H36" s="407"/>
      <c r="I36" s="407"/>
      <c r="J36" s="407"/>
      <c r="K36" s="436"/>
    </row>
    <row r="37" spans="1:33" x14ac:dyDescent="0.3">
      <c r="G37" s="407"/>
      <c r="H37" s="407"/>
      <c r="I37" s="407"/>
      <c r="J37" s="407"/>
      <c r="K37" s="436"/>
    </row>
    <row r="38" spans="1:33" x14ac:dyDescent="0.3">
      <c r="G38" s="407"/>
      <c r="H38" s="407"/>
      <c r="I38" s="407"/>
      <c r="J38" s="407"/>
      <c r="K38" s="436"/>
    </row>
    <row r="39" spans="1:33" x14ac:dyDescent="0.3">
      <c r="G39" s="407"/>
      <c r="H39" s="407"/>
      <c r="I39" s="407"/>
      <c r="J39" s="407"/>
      <c r="K39" s="436"/>
    </row>
    <row r="40" spans="1:33" x14ac:dyDescent="0.3">
      <c r="G40" s="407"/>
      <c r="H40" s="407"/>
      <c r="I40" s="407"/>
      <c r="J40" s="407"/>
      <c r="K40" s="436"/>
    </row>
    <row r="41" spans="1:33" x14ac:dyDescent="0.3">
      <c r="G41" s="407"/>
      <c r="H41" s="407"/>
      <c r="I41" s="407"/>
      <c r="J41" s="407"/>
      <c r="K41" s="436"/>
    </row>
    <row r="42" spans="1:33" x14ac:dyDescent="0.3">
      <c r="G42" s="407"/>
      <c r="H42" s="407"/>
      <c r="I42" s="407"/>
      <c r="J42" s="407"/>
      <c r="K42" s="436"/>
    </row>
    <row r="43" spans="1:33" x14ac:dyDescent="0.3">
      <c r="G43" s="407"/>
      <c r="H43" s="407"/>
      <c r="I43" s="407"/>
      <c r="J43" s="407"/>
      <c r="K43" s="436"/>
    </row>
    <row r="44" spans="1:33" x14ac:dyDescent="0.3">
      <c r="G44" s="589"/>
      <c r="H44" s="589"/>
      <c r="I44" s="589"/>
      <c r="J44" s="437"/>
      <c r="K44" s="437"/>
    </row>
    <row r="48" spans="1:33" x14ac:dyDescent="0.3">
      <c r="G48" s="423"/>
      <c r="H48" s="423"/>
      <c r="I48" s="423"/>
      <c r="J48" s="423"/>
      <c r="K48" s="423"/>
    </row>
    <row r="49" spans="1:12" x14ac:dyDescent="0.3">
      <c r="A49" s="423"/>
      <c r="B49" s="423"/>
      <c r="F49" s="423"/>
      <c r="L49" s="423"/>
    </row>
    <row r="64" spans="1:12" x14ac:dyDescent="0.3">
      <c r="C64" s="423"/>
      <c r="D64" s="423"/>
      <c r="E64" s="423"/>
    </row>
    <row r="65" spans="3:12" x14ac:dyDescent="0.3">
      <c r="C65" s="423"/>
      <c r="D65" s="423"/>
      <c r="E65" s="423"/>
      <c r="F65" s="394"/>
      <c r="L65" s="394"/>
    </row>
    <row r="66" spans="3:12" x14ac:dyDescent="0.3">
      <c r="C66" s="423"/>
      <c r="D66" s="423"/>
      <c r="E66" s="423"/>
      <c r="F66" s="394"/>
      <c r="L66" s="394"/>
    </row>
    <row r="67" spans="3:12" x14ac:dyDescent="0.3">
      <c r="C67" s="435"/>
      <c r="D67" s="394"/>
      <c r="E67" s="394"/>
      <c r="F67" s="394"/>
      <c r="L67" s="394"/>
    </row>
    <row r="68" spans="3:12" x14ac:dyDescent="0.3">
      <c r="D68" s="407"/>
      <c r="F68" s="394"/>
      <c r="L68" s="394"/>
    </row>
    <row r="69" spans="3:12" x14ac:dyDescent="0.3">
      <c r="D69" s="407"/>
      <c r="F69" s="394"/>
      <c r="L69" s="394"/>
    </row>
    <row r="70" spans="3:12" x14ac:dyDescent="0.3">
      <c r="D70" s="407"/>
      <c r="F70" s="394"/>
      <c r="L70" s="394"/>
    </row>
    <row r="71" spans="3:12" x14ac:dyDescent="0.3">
      <c r="D71" s="407"/>
      <c r="F71" s="394"/>
      <c r="L71" s="394"/>
    </row>
    <row r="72" spans="3:12" x14ac:dyDescent="0.3">
      <c r="D72" s="407"/>
      <c r="F72" s="394"/>
      <c r="L72" s="394"/>
    </row>
    <row r="73" spans="3:12" x14ac:dyDescent="0.3">
      <c r="D73" s="407"/>
      <c r="F73" s="394"/>
      <c r="L73" s="394"/>
    </row>
    <row r="74" spans="3:12" x14ac:dyDescent="0.3">
      <c r="D74" s="407"/>
      <c r="F74" s="394"/>
      <c r="L74" s="394"/>
    </row>
    <row r="75" spans="3:12" x14ac:dyDescent="0.3">
      <c r="D75" s="407"/>
      <c r="F75" s="394"/>
      <c r="L75" s="394"/>
    </row>
    <row r="76" spans="3:12" x14ac:dyDescent="0.3">
      <c r="D76" s="407"/>
      <c r="F76" s="394"/>
      <c r="L76" s="394"/>
    </row>
    <row r="77" spans="3:12" x14ac:dyDescent="0.3">
      <c r="D77" s="407"/>
      <c r="F77" s="394"/>
      <c r="L77" s="394"/>
    </row>
    <row r="78" spans="3:12" x14ac:dyDescent="0.3">
      <c r="D78" s="407"/>
    </row>
    <row r="79" spans="3:12" x14ac:dyDescent="0.3">
      <c r="D79" s="407"/>
    </row>
    <row r="80" spans="3:12" x14ac:dyDescent="0.3">
      <c r="C80" s="403"/>
      <c r="D80" s="403"/>
      <c r="E80" s="403"/>
      <c r="F80" s="403"/>
      <c r="L80" s="403"/>
    </row>
    <row r="81" spans="2:12" x14ac:dyDescent="0.3">
      <c r="C81" s="403"/>
      <c r="D81" s="403"/>
      <c r="E81" s="403"/>
      <c r="F81" s="403"/>
      <c r="L81" s="403"/>
    </row>
    <row r="82" spans="2:12" x14ac:dyDescent="0.3">
      <c r="C82" s="403"/>
      <c r="D82" s="403"/>
      <c r="E82" s="403"/>
      <c r="F82" s="403"/>
      <c r="L82" s="403"/>
    </row>
    <row r="83" spans="2:12" x14ac:dyDescent="0.3">
      <c r="D83" s="407"/>
    </row>
    <row r="84" spans="2:12" x14ac:dyDescent="0.3">
      <c r="D84" s="407"/>
    </row>
    <row r="85" spans="2:12" x14ac:dyDescent="0.3">
      <c r="D85" s="407"/>
    </row>
    <row r="86" spans="2:12" x14ac:dyDescent="0.3">
      <c r="D86" s="407"/>
    </row>
    <row r="87" spans="2:12" x14ac:dyDescent="0.3">
      <c r="C87" s="423"/>
      <c r="D87" s="423"/>
      <c r="E87" s="423"/>
    </row>
    <row r="88" spans="2:12" x14ac:dyDescent="0.3">
      <c r="C88" s="423"/>
      <c r="D88" s="423"/>
      <c r="E88" s="423"/>
      <c r="F88" s="423"/>
      <c r="L88" s="423"/>
    </row>
    <row r="89" spans="2:12" x14ac:dyDescent="0.3">
      <c r="B89" s="423"/>
      <c r="C89" s="423"/>
      <c r="D89" s="423"/>
      <c r="E89" s="423"/>
      <c r="F89" s="394"/>
      <c r="L89" s="394"/>
    </row>
    <row r="90" spans="2:12" x14ac:dyDescent="0.3">
      <c r="C90" s="423"/>
      <c r="D90" s="423"/>
      <c r="E90" s="423"/>
      <c r="F90" s="438"/>
      <c r="L90" s="438"/>
    </row>
    <row r="91" spans="2:12" x14ac:dyDescent="0.3">
      <c r="C91" s="423"/>
      <c r="D91" s="423"/>
      <c r="E91" s="423"/>
      <c r="F91" s="394"/>
      <c r="L91" s="394"/>
    </row>
    <row r="92" spans="2:12" x14ac:dyDescent="0.3">
      <c r="C92" s="423"/>
      <c r="D92" s="423"/>
      <c r="E92" s="423"/>
      <c r="F92" s="406"/>
      <c r="L92" s="406"/>
    </row>
    <row r="93" spans="2:12" x14ac:dyDescent="0.3">
      <c r="C93" s="423"/>
      <c r="D93" s="423"/>
      <c r="E93" s="423"/>
      <c r="F93" s="406"/>
      <c r="L93" s="406"/>
    </row>
    <row r="94" spans="2:12" x14ac:dyDescent="0.3">
      <c r="C94" s="423"/>
      <c r="D94" s="423"/>
      <c r="E94" s="423"/>
      <c r="F94" s="406"/>
      <c r="L94" s="406"/>
    </row>
    <row r="95" spans="2:12" x14ac:dyDescent="0.3">
      <c r="C95" s="423"/>
      <c r="D95" s="423"/>
      <c r="E95" s="423"/>
      <c r="F95" s="438"/>
      <c r="L95" s="438"/>
    </row>
    <row r="96" spans="2:12" x14ac:dyDescent="0.3">
      <c r="C96" s="423"/>
      <c r="D96" s="423"/>
      <c r="E96" s="423"/>
      <c r="F96" s="394"/>
      <c r="L96" s="394"/>
    </row>
    <row r="97" spans="3:12" x14ac:dyDescent="0.3">
      <c r="C97" s="423"/>
      <c r="D97" s="423"/>
      <c r="E97" s="423"/>
      <c r="F97" s="394"/>
      <c r="L97" s="394"/>
    </row>
    <row r="98" spans="3:12" x14ac:dyDescent="0.3">
      <c r="C98" s="423"/>
      <c r="D98" s="423"/>
      <c r="E98" s="423"/>
      <c r="F98" s="394"/>
      <c r="L98" s="394"/>
    </row>
    <row r="99" spans="3:12" x14ac:dyDescent="0.3">
      <c r="C99" s="423"/>
      <c r="D99" s="423"/>
      <c r="E99" s="423"/>
    </row>
    <row r="100" spans="3:12" x14ac:dyDescent="0.3">
      <c r="C100" s="423"/>
      <c r="D100" s="423"/>
      <c r="E100" s="423"/>
    </row>
    <row r="101" spans="3:12" x14ac:dyDescent="0.3">
      <c r="C101" s="423"/>
      <c r="D101" s="423"/>
      <c r="E101" s="423"/>
    </row>
    <row r="102" spans="3:12" x14ac:dyDescent="0.3">
      <c r="C102" s="423"/>
      <c r="D102" s="423"/>
      <c r="E102" s="423"/>
    </row>
    <row r="104" spans="3:12" x14ac:dyDescent="0.3">
      <c r="C104" s="403"/>
      <c r="D104" s="403"/>
      <c r="E104" s="403"/>
    </row>
  </sheetData>
  <sheetProtection algorithmName="SHA-512" hashValue="FhC0nWjeQrf9Rf6hPeGDfZeY/rmBjHdtZsGEi6pIEqX0dAedEqtWN7c9XikSh0o04OvGU2VoiQnr6Nen0zkWgg==" saltValue="4g8fIuFAbZe4k8gXt5gkxQ==" spinCount="100000" sheet="1" objects="1" scenarios="1" selectLockedCells="1" selectUnlockedCells="1"/>
  <mergeCells count="12">
    <mergeCell ref="AA25:AC25"/>
    <mergeCell ref="AB13:AB14"/>
    <mergeCell ref="M13:M14"/>
    <mergeCell ref="Z13:AA13"/>
    <mergeCell ref="Z14:AA14"/>
    <mergeCell ref="AC13:AD14"/>
    <mergeCell ref="P13:P14"/>
    <mergeCell ref="T13:T14"/>
    <mergeCell ref="X13:X14"/>
    <mergeCell ref="O13:O14"/>
    <mergeCell ref="S13:S14"/>
    <mergeCell ref="W13:W14"/>
  </mergeCells>
  <printOptions horizontalCentered="1"/>
  <pageMargins left="0.5" right="0.5" top="0.75" bottom="0.5" header="0.5" footer="0.5"/>
  <pageSetup orientation="landscape" horizontalDpi="1200" verticalDpi="1200" r:id="rId1"/>
  <headerFooter scaleWithDoc="0" alignWithMargins="0">
    <oddFooter>&amp;L&amp;10Weighted Average Cost of Capital&amp;R&amp;10Page &amp;P of &amp;N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D2F53-2EEE-473D-A415-9E4F5EFB16D3}">
  <sheetPr>
    <tabColor rgb="FFEBF1DE"/>
    <pageSetUpPr fitToPage="1"/>
  </sheetPr>
  <dimension ref="A1:AX32"/>
  <sheetViews>
    <sheetView showGridLines="0" showRowColHeaders="0" zoomScaleNormal="100" zoomScaleSheetLayoutView="85" workbookViewId="0"/>
  </sheetViews>
  <sheetFormatPr defaultColWidth="10.5546875" defaultRowHeight="14.4" x14ac:dyDescent="0.3"/>
  <cols>
    <col min="1" max="1" width="3.109375" style="84" customWidth="1"/>
    <col min="2" max="2" width="5.5546875" style="446" customWidth="1"/>
    <col min="3" max="3" width="1.88671875" style="446" customWidth="1"/>
    <col min="4" max="4" width="8.88671875" style="446" customWidth="1"/>
    <col min="5" max="5" width="5" style="446" customWidth="1"/>
    <col min="6" max="6" width="3" style="446" customWidth="1"/>
    <col min="7" max="7" width="2.21875" style="458" customWidth="1"/>
    <col min="8" max="8" width="4.5546875" style="446" customWidth="1"/>
    <col min="9" max="9" width="3.21875" style="49" customWidth="1"/>
    <col min="10" max="11" width="3.88671875" style="49" customWidth="1"/>
    <col min="12" max="12" width="1.5546875" style="49" customWidth="1"/>
    <col min="13" max="13" width="4.6640625" style="49" customWidth="1"/>
    <col min="14" max="14" width="5.44140625" style="49" bestFit="1" customWidth="1"/>
    <col min="15" max="15" width="2" style="49" customWidth="1"/>
    <col min="16" max="16" width="8.109375" style="454" bestFit="1" customWidth="1"/>
    <col min="17" max="17" width="6.21875" style="49" customWidth="1"/>
    <col min="18" max="19" width="6.44140625" style="49" customWidth="1"/>
    <col min="20" max="20" width="2.88671875" style="454" customWidth="1"/>
    <col min="21" max="21" width="9.109375" style="446" customWidth="1"/>
    <col min="22" max="22" width="8.44140625" style="496" customWidth="1"/>
    <col min="23" max="23" width="9.44140625" style="446" customWidth="1"/>
    <col min="24" max="24" width="1.6640625" style="446" customWidth="1"/>
    <col min="25" max="25" width="13.5546875" style="446" bestFit="1" customWidth="1"/>
    <col min="26" max="26" width="1.33203125" style="446" customWidth="1"/>
    <col min="27" max="27" width="7.109375" style="496" customWidth="1"/>
    <col min="28" max="28" width="6.21875" style="496" bestFit="1" customWidth="1"/>
    <col min="29" max="29" width="1.33203125" style="496" customWidth="1"/>
    <col min="30" max="30" width="1.109375" style="496" customWidth="1"/>
    <col min="31" max="31" width="6.44140625" style="496" customWidth="1"/>
    <col min="32" max="32" width="7.21875" style="496" bestFit="1" customWidth="1"/>
    <col min="33" max="33" width="10.21875" style="446" customWidth="1"/>
    <col min="34" max="38" width="9.21875" style="446" customWidth="1"/>
    <col min="39" max="39" width="12.77734375" style="446" customWidth="1"/>
    <col min="40" max="40" width="3.109375" style="446" customWidth="1"/>
    <col min="41" max="41" width="7.77734375" style="446" customWidth="1"/>
    <col min="42" max="42" width="2.88671875" style="446" customWidth="1"/>
    <col min="43" max="43" width="10.5546875" style="446"/>
    <col min="44" max="44" width="2.88671875" style="446" customWidth="1"/>
    <col min="45" max="45" width="10.5546875" style="446"/>
    <col min="46" max="46" width="1.109375" style="446" customWidth="1"/>
    <col min="47" max="47" width="18.6640625" style="446" customWidth="1"/>
    <col min="48" max="16384" width="10.5546875" style="446"/>
  </cols>
  <sheetData>
    <row r="1" spans="1:42" s="70" customFormat="1" ht="8.4" customHeight="1" x14ac:dyDescent="0.2">
      <c r="A1" s="69" t="s">
        <v>60</v>
      </c>
      <c r="E1" s="71"/>
      <c r="H1" s="170"/>
      <c r="W1" s="72"/>
    </row>
    <row r="2" spans="1:42" s="171" customFormat="1" ht="23.4" x14ac:dyDescent="0.45">
      <c r="A2" s="73"/>
      <c r="C2" s="77" t="s">
        <v>121</v>
      </c>
      <c r="D2" s="77"/>
      <c r="E2" s="77"/>
      <c r="F2" s="77"/>
      <c r="G2" s="77"/>
      <c r="H2" s="77"/>
      <c r="I2" s="76"/>
      <c r="J2" s="76"/>
      <c r="K2" s="76"/>
      <c r="L2" s="375"/>
      <c r="M2" s="76"/>
      <c r="N2" s="76"/>
      <c r="O2" s="375"/>
      <c r="P2" s="439"/>
      <c r="Q2" s="375"/>
      <c r="R2" s="375"/>
      <c r="S2" s="375"/>
      <c r="T2" s="74"/>
      <c r="V2" s="172"/>
      <c r="AA2" s="172"/>
      <c r="AB2" s="172"/>
      <c r="AC2" s="172"/>
      <c r="AD2" s="172"/>
      <c r="AE2" s="172"/>
      <c r="AF2" s="172"/>
    </row>
    <row r="3" spans="1:42" s="80" customFormat="1" ht="18" x14ac:dyDescent="0.35">
      <c r="A3" s="78"/>
      <c r="C3" s="440" t="s">
        <v>86</v>
      </c>
      <c r="D3" s="440"/>
      <c r="E3" s="440"/>
      <c r="F3" s="440"/>
      <c r="G3" s="440"/>
      <c r="H3" s="440"/>
      <c r="I3" s="377"/>
      <c r="J3" s="377"/>
      <c r="K3" s="377"/>
      <c r="L3" s="81"/>
      <c r="M3" s="81"/>
      <c r="N3" s="81"/>
      <c r="O3" s="81"/>
      <c r="Q3" s="81"/>
      <c r="R3" s="81"/>
      <c r="S3" s="81"/>
      <c r="V3" s="441"/>
      <c r="AA3" s="441"/>
      <c r="AB3" s="441"/>
      <c r="AC3" s="441"/>
      <c r="AD3" s="441"/>
      <c r="AE3" s="441"/>
      <c r="AF3" s="441"/>
    </row>
    <row r="4" spans="1:42" s="88" customFormat="1" x14ac:dyDescent="0.3">
      <c r="A4" s="84"/>
      <c r="C4" s="85"/>
      <c r="D4" s="85"/>
      <c r="E4" s="85"/>
      <c r="F4" s="85"/>
      <c r="G4" s="85"/>
      <c r="H4" s="85"/>
      <c r="I4" s="86"/>
      <c r="J4" s="86"/>
      <c r="K4" s="86"/>
      <c r="L4" s="86"/>
      <c r="M4" s="86"/>
      <c r="O4" s="86"/>
      <c r="P4" s="185"/>
      <c r="Q4" s="86"/>
      <c r="R4" s="378"/>
      <c r="S4" s="84"/>
      <c r="V4" s="91"/>
      <c r="AE4" s="91"/>
      <c r="AF4" s="91"/>
    </row>
    <row r="5" spans="1:42" s="189" customFormat="1" ht="15.6" x14ac:dyDescent="0.3">
      <c r="A5" s="188"/>
      <c r="C5" s="189" t="s">
        <v>242</v>
      </c>
      <c r="I5" s="232"/>
      <c r="J5" s="232"/>
      <c r="K5" s="232"/>
      <c r="L5" s="232"/>
      <c r="M5" s="232"/>
      <c r="N5" s="232"/>
      <c r="O5" s="89"/>
      <c r="P5" s="89"/>
      <c r="Q5" s="232"/>
      <c r="R5" s="232"/>
      <c r="S5" s="232"/>
      <c r="T5" s="442"/>
      <c r="V5" s="193"/>
      <c r="AA5" s="193"/>
      <c r="AB5" s="193"/>
      <c r="AC5" s="193"/>
      <c r="AD5" s="193"/>
      <c r="AE5" s="193"/>
      <c r="AF5" s="193"/>
    </row>
    <row r="6" spans="1:42" s="88" customFormat="1" ht="9.6" customHeight="1" x14ac:dyDescent="0.3">
      <c r="A6" s="84"/>
      <c r="K6" s="92"/>
      <c r="L6" s="93"/>
      <c r="M6" s="94"/>
      <c r="N6" s="93"/>
      <c r="R6" s="84"/>
      <c r="S6" s="84"/>
      <c r="T6" s="93"/>
      <c r="V6" s="91"/>
      <c r="W6" s="91"/>
      <c r="X6" s="91"/>
      <c r="Y6" s="234"/>
      <c r="AE6" s="91"/>
      <c r="AF6" s="91"/>
    </row>
    <row r="7" spans="1:42" s="114" customFormat="1" ht="13.8" x14ac:dyDescent="0.3">
      <c r="A7" s="112"/>
      <c r="C7" s="199" t="s">
        <v>324</v>
      </c>
      <c r="D7" s="199"/>
      <c r="E7" s="199"/>
      <c r="F7" s="199"/>
      <c r="G7" s="110"/>
      <c r="H7" s="199"/>
      <c r="I7" s="226"/>
      <c r="J7" s="226"/>
      <c r="K7" s="226"/>
      <c r="L7" s="226"/>
      <c r="M7" s="226"/>
      <c r="N7" s="226"/>
      <c r="O7" s="148"/>
      <c r="P7" s="148"/>
      <c r="Q7" s="226"/>
      <c r="R7" s="226"/>
      <c r="S7" s="226"/>
      <c r="T7" s="166"/>
      <c r="V7" s="145"/>
      <c r="X7" s="443" t="s">
        <v>325</v>
      </c>
      <c r="Z7" s="443"/>
      <c r="AA7" s="145"/>
      <c r="AB7" s="145"/>
      <c r="AC7" s="145"/>
      <c r="AD7" s="145"/>
      <c r="AE7" s="145"/>
      <c r="AF7" s="145"/>
    </row>
    <row r="8" spans="1:42" s="88" customFormat="1" x14ac:dyDescent="0.3">
      <c r="A8" s="84"/>
      <c r="C8" s="444" t="s">
        <v>183</v>
      </c>
      <c r="D8" s="444"/>
      <c r="E8" s="444"/>
      <c r="F8" s="444"/>
      <c r="G8" s="444"/>
      <c r="H8" s="444"/>
      <c r="I8" s="378"/>
      <c r="J8" s="378"/>
      <c r="K8" s="378"/>
      <c r="L8" s="378"/>
      <c r="M8" s="378"/>
      <c r="N8" s="378"/>
      <c r="O8" s="86"/>
      <c r="P8" s="86"/>
      <c r="Q8" s="378"/>
      <c r="R8" s="378"/>
      <c r="S8" s="378"/>
      <c r="T8" s="445"/>
      <c r="V8" s="91"/>
      <c r="X8" s="444" t="s">
        <v>249</v>
      </c>
      <c r="Z8" s="446"/>
      <c r="AA8" s="91"/>
      <c r="AB8" s="91"/>
      <c r="AC8" s="91"/>
      <c r="AD8" s="91"/>
      <c r="AE8" s="91"/>
      <c r="AF8" s="91"/>
    </row>
    <row r="9" spans="1:42" s="88" customFormat="1" x14ac:dyDescent="0.3">
      <c r="A9" s="84"/>
      <c r="C9" s="447" t="s">
        <v>184</v>
      </c>
      <c r="D9" s="447"/>
      <c r="E9" s="447"/>
      <c r="F9" s="447"/>
      <c r="G9" s="447"/>
      <c r="H9" s="447"/>
      <c r="I9" s="448"/>
      <c r="J9" s="448"/>
      <c r="K9" s="448"/>
      <c r="L9" s="378"/>
      <c r="M9" s="378"/>
      <c r="N9" s="378"/>
      <c r="O9" s="86"/>
      <c r="P9" s="86"/>
      <c r="Q9" s="378"/>
      <c r="R9" s="378"/>
      <c r="S9" s="378"/>
      <c r="T9" s="445"/>
      <c r="V9" s="91"/>
      <c r="X9" s="444" t="s">
        <v>224</v>
      </c>
      <c r="Z9" s="449"/>
      <c r="AA9" s="91"/>
      <c r="AB9" s="91"/>
      <c r="AC9" s="91"/>
      <c r="AD9" s="91"/>
      <c r="AE9" s="91"/>
      <c r="AF9" s="91"/>
    </row>
    <row r="10" spans="1:42" s="187" customFormat="1" x14ac:dyDescent="0.3">
      <c r="A10" s="450"/>
      <c r="C10" s="447" t="s">
        <v>234</v>
      </c>
      <c r="D10" s="447"/>
      <c r="E10" s="447"/>
      <c r="F10" s="447"/>
      <c r="G10" s="447"/>
      <c r="H10" s="447"/>
      <c r="I10" s="451"/>
      <c r="J10" s="451"/>
      <c r="K10" s="451"/>
      <c r="L10" s="452"/>
      <c r="M10" s="452"/>
      <c r="N10" s="452"/>
      <c r="O10" s="149"/>
      <c r="P10" s="149"/>
      <c r="Q10" s="452"/>
      <c r="R10" s="452"/>
      <c r="S10" s="452"/>
      <c r="T10" s="155"/>
      <c r="V10" s="453"/>
      <c r="X10" s="444" t="s">
        <v>248</v>
      </c>
      <c r="Z10" s="449"/>
      <c r="AA10" s="453"/>
      <c r="AB10" s="453"/>
      <c r="AC10" s="453"/>
      <c r="AD10" s="453"/>
      <c r="AE10" s="453"/>
      <c r="AF10" s="453"/>
    </row>
    <row r="11" spans="1:42" s="88" customFormat="1" x14ac:dyDescent="0.3">
      <c r="A11" s="84"/>
      <c r="K11" s="92"/>
      <c r="L11" s="93"/>
      <c r="M11" s="94"/>
      <c r="N11" s="93"/>
      <c r="R11" s="84"/>
      <c r="S11" s="84"/>
      <c r="T11" s="93"/>
      <c r="V11" s="91"/>
      <c r="W11" s="91"/>
      <c r="X11" s="91"/>
      <c r="Y11" s="234"/>
      <c r="AE11" s="91"/>
      <c r="AF11" s="91"/>
    </row>
    <row r="12" spans="1:42" x14ac:dyDescent="0.3">
      <c r="D12" s="953" t="s">
        <v>320</v>
      </c>
      <c r="E12" s="953"/>
      <c r="F12" s="953"/>
      <c r="G12" s="953"/>
      <c r="H12" s="953"/>
      <c r="I12" s="953"/>
      <c r="J12" s="953"/>
      <c r="K12" s="953"/>
      <c r="L12" s="953"/>
      <c r="M12" s="953"/>
      <c r="N12" s="953"/>
      <c r="O12" s="953"/>
      <c r="P12" s="953"/>
      <c r="Q12" s="953"/>
      <c r="R12" s="953"/>
      <c r="S12" s="953"/>
      <c r="U12" s="952" t="s">
        <v>321</v>
      </c>
      <c r="V12" s="952"/>
      <c r="W12" s="92"/>
      <c r="X12" s="92"/>
      <c r="Y12" s="455"/>
      <c r="Z12" s="455"/>
      <c r="AA12" s="456" t="s">
        <v>123</v>
      </c>
      <c r="AB12" s="456"/>
      <c r="AC12" s="456"/>
      <c r="AD12" s="457"/>
      <c r="AE12" s="956" t="s">
        <v>152</v>
      </c>
      <c r="AF12" s="956"/>
      <c r="AG12" s="92"/>
      <c r="AH12" s="92"/>
      <c r="AJ12" s="92"/>
      <c r="AK12" s="92"/>
      <c r="AL12" s="92"/>
      <c r="AN12" s="92"/>
      <c r="AO12" s="92"/>
      <c r="AP12" s="92"/>
    </row>
    <row r="13" spans="1:42" ht="6.6" customHeight="1" x14ac:dyDescent="0.3">
      <c r="O13" s="446"/>
      <c r="P13" s="446"/>
      <c r="Q13" s="459"/>
      <c r="R13" s="459"/>
      <c r="S13" s="459"/>
      <c r="U13" s="460"/>
      <c r="V13" s="91"/>
      <c r="W13" s="92"/>
      <c r="X13" s="92"/>
      <c r="Y13" s="455"/>
      <c r="Z13" s="455"/>
      <c r="AA13" s="461"/>
      <c r="AB13" s="461"/>
      <c r="AC13" s="461"/>
      <c r="AD13" s="461"/>
      <c r="AE13" s="461"/>
      <c r="AF13" s="461"/>
      <c r="AG13" s="92"/>
      <c r="AH13" s="92"/>
      <c r="AJ13" s="92"/>
      <c r="AK13" s="92"/>
      <c r="AL13" s="92"/>
      <c r="AN13" s="92"/>
      <c r="AO13" s="92"/>
      <c r="AP13" s="92"/>
    </row>
    <row r="14" spans="1:42" s="482" customFormat="1" ht="13.8" x14ac:dyDescent="0.3">
      <c r="A14" s="462"/>
      <c r="B14" s="463"/>
      <c r="C14" s="464"/>
      <c r="D14" s="465" t="s">
        <v>11</v>
      </c>
      <c r="E14" s="466"/>
      <c r="F14" s="467"/>
      <c r="G14" s="465" t="s">
        <v>151</v>
      </c>
      <c r="H14" s="468"/>
      <c r="I14" s="469"/>
      <c r="J14" s="469"/>
      <c r="K14" s="469"/>
      <c r="L14" s="468"/>
      <c r="M14" s="470" t="s">
        <v>161</v>
      </c>
      <c r="N14" s="471" t="s">
        <v>21</v>
      </c>
      <c r="O14" s="472"/>
      <c r="P14" s="473" t="s">
        <v>69</v>
      </c>
      <c r="Q14" s="474" t="s">
        <v>150</v>
      </c>
      <c r="R14" s="475" t="s">
        <v>323</v>
      </c>
      <c r="S14" s="475" t="s">
        <v>322</v>
      </c>
      <c r="T14" s="476"/>
      <c r="U14" s="477"/>
      <c r="V14" s="478"/>
      <c r="W14" s="479"/>
      <c r="X14" s="479"/>
      <c r="Y14" s="466"/>
      <c r="Z14" s="466"/>
      <c r="AA14" s="472" t="s">
        <v>119</v>
      </c>
      <c r="AB14" s="480" t="s">
        <v>118</v>
      </c>
      <c r="AC14" s="480"/>
      <c r="AD14" s="480"/>
      <c r="AE14" s="472" t="s">
        <v>132</v>
      </c>
      <c r="AF14" s="466" t="s">
        <v>247</v>
      </c>
      <c r="AG14" s="464"/>
      <c r="AH14" s="481"/>
      <c r="AJ14" s="483"/>
      <c r="AK14" s="483"/>
      <c r="AL14" s="483"/>
      <c r="AN14" s="483"/>
      <c r="AO14" s="483"/>
      <c r="AP14" s="483"/>
    </row>
    <row r="15" spans="1:42" s="485" customFormat="1" x14ac:dyDescent="0.3">
      <c r="A15" s="484"/>
      <c r="B15" s="446"/>
      <c r="D15" s="599" t="s">
        <v>125</v>
      </c>
      <c r="E15" s="801">
        <f>WACC!AA25</f>
        <v>5.0683007518796994E-2</v>
      </c>
      <c r="G15" s="57" t="s">
        <v>101</v>
      </c>
      <c r="H15" s="499"/>
      <c r="I15" s="500"/>
      <c r="J15" s="500"/>
      <c r="K15" s="500"/>
      <c r="L15" s="500"/>
      <c r="M15" s="802">
        <v>1</v>
      </c>
      <c r="N15" s="803">
        <v>147.38399999999999</v>
      </c>
      <c r="O15" s="600">
        <f t="shared" ref="O15:O21" si="0">N15</f>
        <v>147.38399999999999</v>
      </c>
      <c r="P15" s="601" t="str">
        <f t="shared" ref="P15:P24" si="1">TEXT($E$15,"0.0%;[red]-0.0%")&amp;" ^"&amp;M15</f>
        <v>5.1% ^1</v>
      </c>
      <c r="Q15" s="803">
        <f t="shared" ref="Q15:Q23" si="2">N15/(1+$E$15)^M15</f>
        <v>140.27446807962511</v>
      </c>
      <c r="R15" s="804">
        <f>SUM(Q15:Q24)</f>
        <v>6203.7507022929658</v>
      </c>
      <c r="S15" s="805">
        <f>NPV(E15,O15:O24)</f>
        <v>6203.7507022929667</v>
      </c>
      <c r="T15" s="48"/>
      <c r="U15" s="486" t="s">
        <v>265</v>
      </c>
      <c r="V15" s="806">
        <f>R15</f>
        <v>6203.7507022929658</v>
      </c>
      <c r="W15" s="316"/>
      <c r="X15" s="316"/>
      <c r="Y15" s="602" t="s">
        <v>88</v>
      </c>
      <c r="Z15" s="603"/>
      <c r="AA15" s="807"/>
      <c r="AB15" s="808"/>
      <c r="AC15" s="809"/>
      <c r="AD15" s="810"/>
      <c r="AE15" s="807"/>
      <c r="AF15" s="811"/>
      <c r="AG15" s="446"/>
      <c r="AH15" s="316"/>
      <c r="AI15" s="446"/>
    </row>
    <row r="16" spans="1:42" x14ac:dyDescent="0.3">
      <c r="D16" s="599" t="s">
        <v>126</v>
      </c>
      <c r="E16" s="812">
        <v>0.01</v>
      </c>
      <c r="G16" s="58"/>
      <c r="H16" s="959" t="s">
        <v>191</v>
      </c>
      <c r="I16" s="959"/>
      <c r="J16" s="959"/>
      <c r="K16" s="959"/>
      <c r="L16" s="35"/>
      <c r="M16" s="813">
        <v>2</v>
      </c>
      <c r="N16" s="814">
        <f>((($N$15*0.6)*1.2)*1.2)*1.15</f>
        <v>146.44074239999995</v>
      </c>
      <c r="O16" s="604">
        <f t="shared" si="0"/>
        <v>146.44074239999995</v>
      </c>
      <c r="P16" s="605" t="str">
        <f t="shared" si="1"/>
        <v>5.1% ^2</v>
      </c>
      <c r="Q16" s="814">
        <f t="shared" si="2"/>
        <v>132.65343637093321</v>
      </c>
      <c r="R16" s="815"/>
      <c r="S16" s="816"/>
      <c r="U16" s="419" t="s">
        <v>263</v>
      </c>
      <c r="V16" s="817">
        <f>-SUM(Financials!J18,Financials!J20)</f>
        <v>-2650</v>
      </c>
      <c r="Y16" s="606" t="s">
        <v>154</v>
      </c>
      <c r="Z16" s="33"/>
      <c r="AA16" s="818">
        <v>4790</v>
      </c>
      <c r="AB16" s="818">
        <v>1188</v>
      </c>
      <c r="AC16" s="819"/>
      <c r="AD16" s="820"/>
      <c r="AE16" s="818">
        <v>3330</v>
      </c>
      <c r="AF16" s="821">
        <v>490</v>
      </c>
      <c r="AJ16" s="316"/>
      <c r="AK16" s="316"/>
      <c r="AL16" s="316"/>
      <c r="AN16" s="316"/>
      <c r="AO16" s="316"/>
      <c r="AP16" s="316"/>
    </row>
    <row r="17" spans="1:50" x14ac:dyDescent="0.3">
      <c r="D17" s="487"/>
      <c r="E17" s="487"/>
      <c r="F17" s="487"/>
      <c r="G17" s="52"/>
      <c r="H17" s="960" t="s">
        <v>192</v>
      </c>
      <c r="I17" s="960"/>
      <c r="J17" s="960"/>
      <c r="K17" s="960"/>
      <c r="L17" s="35"/>
      <c r="M17" s="813">
        <v>3</v>
      </c>
      <c r="N17" s="814">
        <v>97.703999999999979</v>
      </c>
      <c r="O17" s="604">
        <f t="shared" si="0"/>
        <v>97.703999999999979</v>
      </c>
      <c r="P17" s="605" t="str">
        <f t="shared" si="1"/>
        <v>5.1% ^3</v>
      </c>
      <c r="Q17" s="814">
        <f t="shared" si="2"/>
        <v>84.235899625034804</v>
      </c>
      <c r="R17" s="815"/>
      <c r="S17" s="816"/>
      <c r="U17" s="488" t="s">
        <v>295</v>
      </c>
      <c r="V17" s="822">
        <f>Financials!J8</f>
        <v>3240.6434285714286</v>
      </c>
      <c r="W17" s="48"/>
      <c r="X17" s="48"/>
      <c r="Y17" s="606" t="s">
        <v>155</v>
      </c>
      <c r="Z17" s="36"/>
      <c r="AA17" s="818">
        <v>8020</v>
      </c>
      <c r="AB17" s="818">
        <v>1394</v>
      </c>
      <c r="AC17" s="819"/>
      <c r="AD17" s="820"/>
      <c r="AE17" s="818">
        <v>7040</v>
      </c>
      <c r="AF17" s="821">
        <v>646.4</v>
      </c>
      <c r="AN17" s="48"/>
      <c r="AO17" s="48"/>
      <c r="AP17" s="48"/>
    </row>
    <row r="18" spans="1:50" s="48" customFormat="1" x14ac:dyDescent="0.3">
      <c r="A18" s="84"/>
      <c r="B18" s="446"/>
      <c r="E18" s="489"/>
      <c r="F18" s="489"/>
      <c r="G18" s="53"/>
      <c r="H18" s="36"/>
      <c r="I18" s="36"/>
      <c r="J18" s="36"/>
      <c r="K18" s="36"/>
      <c r="L18" s="35"/>
      <c r="M18" s="813">
        <v>4</v>
      </c>
      <c r="N18" s="814">
        <v>182.16</v>
      </c>
      <c r="O18" s="604">
        <f t="shared" si="0"/>
        <v>182.16</v>
      </c>
      <c r="P18" s="605" t="str">
        <f t="shared" si="1"/>
        <v>5.1% ^4</v>
      </c>
      <c r="Q18" s="814">
        <f t="shared" si="2"/>
        <v>149.47418129720742</v>
      </c>
      <c r="R18" s="815"/>
      <c r="S18" s="816"/>
      <c r="U18" s="490" t="s">
        <v>264</v>
      </c>
      <c r="V18" s="823">
        <f>SUM(V7:V17)</f>
        <v>6794.3941308643944</v>
      </c>
      <c r="Y18" s="607" t="s">
        <v>156</v>
      </c>
      <c r="Z18" s="36"/>
      <c r="AA18" s="818">
        <v>7900</v>
      </c>
      <c r="AB18" s="818">
        <v>1658</v>
      </c>
      <c r="AC18" s="819"/>
      <c r="AD18" s="820"/>
      <c r="AE18" s="818">
        <v>5130</v>
      </c>
      <c r="AF18" s="824">
        <v>570</v>
      </c>
      <c r="AG18" s="92"/>
    </row>
    <row r="19" spans="1:50" s="48" customFormat="1" x14ac:dyDescent="0.3">
      <c r="A19" s="84"/>
      <c r="E19" s="489"/>
      <c r="F19" s="489"/>
      <c r="G19" s="54" t="s">
        <v>69</v>
      </c>
      <c r="H19" s="36"/>
      <c r="I19" s="36"/>
      <c r="J19" s="36"/>
      <c r="K19" s="36"/>
      <c r="L19" s="35"/>
      <c r="M19" s="813">
        <v>5</v>
      </c>
      <c r="N19" s="825">
        <v>86.111999999999995</v>
      </c>
      <c r="O19" s="604">
        <f t="shared" si="0"/>
        <v>86.111999999999995</v>
      </c>
      <c r="P19" s="605" t="str">
        <f t="shared" si="1"/>
        <v>5.1% ^5</v>
      </c>
      <c r="Q19" s="814">
        <f t="shared" si="2"/>
        <v>67.251989003454639</v>
      </c>
      <c r="R19" s="815"/>
      <c r="S19" s="816"/>
      <c r="V19" s="491"/>
      <c r="Y19" s="606" t="s">
        <v>120</v>
      </c>
      <c r="Z19" s="36"/>
      <c r="AA19" s="818">
        <f>SUM(AA16:AA18)</f>
        <v>20710</v>
      </c>
      <c r="AB19" s="826">
        <f>SUM(AB16:AB18)</f>
        <v>4240</v>
      </c>
      <c r="AC19" s="827"/>
      <c r="AD19" s="828"/>
      <c r="AE19" s="818">
        <f>SUM(AE16:AE18)</f>
        <v>15500</v>
      </c>
      <c r="AF19" s="824">
        <f>SUM(AF16:AF18)</f>
        <v>1706.4</v>
      </c>
      <c r="AG19" s="316"/>
    </row>
    <row r="20" spans="1:50" s="48" customFormat="1" x14ac:dyDescent="0.3">
      <c r="A20" s="84"/>
      <c r="E20" s="487"/>
      <c r="F20" s="487"/>
      <c r="G20" s="52"/>
      <c r="H20" s="950" t="str">
        <f>TEXT(N24,"0")&amp;" *"&amp;" (1 + "&amp;TEXT($E$16,"0%")&amp;")"</f>
        <v>317 * (1 + 1%)</v>
      </c>
      <c r="I20" s="950"/>
      <c r="J20" s="950"/>
      <c r="K20" s="36"/>
      <c r="L20" s="35"/>
      <c r="M20" s="813">
        <v>6</v>
      </c>
      <c r="N20" s="825">
        <v>71.207999999999998</v>
      </c>
      <c r="O20" s="604">
        <f t="shared" si="0"/>
        <v>71.207999999999998</v>
      </c>
      <c r="P20" s="605" t="str">
        <f t="shared" si="1"/>
        <v>5.1% ^6</v>
      </c>
      <c r="Q20" s="814">
        <f t="shared" si="2"/>
        <v>52.929590826126237</v>
      </c>
      <c r="R20" s="815"/>
      <c r="S20" s="816"/>
      <c r="V20" s="491"/>
      <c r="Y20" s="954" t="s">
        <v>133</v>
      </c>
      <c r="Z20" s="955"/>
      <c r="AA20" s="829"/>
      <c r="AB20" s="958">
        <f>AA19/AB19</f>
        <v>4.8844339622641506</v>
      </c>
      <c r="AC20" s="830"/>
      <c r="AD20" s="831"/>
      <c r="AE20" s="829"/>
      <c r="AF20" s="957">
        <f>AE19/AF19</f>
        <v>9.0834505391467406</v>
      </c>
      <c r="AG20" s="446"/>
    </row>
    <row r="21" spans="1:50" s="48" customFormat="1" x14ac:dyDescent="0.3">
      <c r="A21" s="84"/>
      <c r="B21" s="492"/>
      <c r="E21" s="489"/>
      <c r="F21" s="489"/>
      <c r="G21" s="53"/>
      <c r="H21" s="951" t="str">
        <f>TEXT($E$15,"0.0%")&amp;" "&amp;TEXT(-$E$16," 0%")</f>
        <v>5.1% - 1%</v>
      </c>
      <c r="I21" s="951"/>
      <c r="J21" s="951"/>
      <c r="K21" s="36"/>
      <c r="L21" s="608"/>
      <c r="M21" s="813">
        <v>7</v>
      </c>
      <c r="N21" s="814">
        <f>((($N$15*1.5)*1.2)*1.2)*1.15</f>
        <v>366.10185599999988</v>
      </c>
      <c r="O21" s="604">
        <f t="shared" si="0"/>
        <v>366.10185599999988</v>
      </c>
      <c r="P21" s="605" t="str">
        <f t="shared" si="1"/>
        <v>5.1% ^7</v>
      </c>
      <c r="Q21" s="814">
        <f t="shared" si="2"/>
        <v>259.00012321419979</v>
      </c>
      <c r="R21" s="815"/>
      <c r="S21" s="816"/>
      <c r="V21" s="491"/>
      <c r="Y21" s="954"/>
      <c r="Z21" s="955"/>
      <c r="AA21" s="36"/>
      <c r="AB21" s="958"/>
      <c r="AC21" s="830"/>
      <c r="AD21" s="831"/>
      <c r="AE21" s="832"/>
      <c r="AF21" s="957"/>
      <c r="AG21" s="493"/>
      <c r="AJ21" s="494"/>
    </row>
    <row r="22" spans="1:50" s="48" customFormat="1" x14ac:dyDescent="0.3">
      <c r="A22" s="84"/>
      <c r="B22" s="446"/>
      <c r="E22" s="489"/>
      <c r="F22" s="489"/>
      <c r="G22" s="55"/>
      <c r="H22" s="36"/>
      <c r="I22" s="36"/>
      <c r="J22" s="36"/>
      <c r="K22" s="36"/>
      <c r="L22" s="608"/>
      <c r="M22" s="813">
        <v>8</v>
      </c>
      <c r="N22" s="814">
        <f>((($N$15*0.9)*1.2)*1.2)*1.15</f>
        <v>219.66111359999999</v>
      </c>
      <c r="O22" s="604">
        <f>N22</f>
        <v>219.66111359999999</v>
      </c>
      <c r="P22" s="605" t="str">
        <f t="shared" si="1"/>
        <v>5.1% ^8</v>
      </c>
      <c r="Q22" s="814">
        <f t="shared" si="2"/>
        <v>147.90386140868446</v>
      </c>
      <c r="R22" s="815"/>
      <c r="S22" s="816"/>
      <c r="V22" s="491"/>
      <c r="Y22" s="609" t="s">
        <v>51</v>
      </c>
      <c r="Z22" s="610"/>
      <c r="AA22" s="833"/>
      <c r="AB22" s="834"/>
      <c r="AC22" s="835"/>
      <c r="AD22" s="836"/>
      <c r="AE22" s="833"/>
      <c r="AF22" s="837"/>
      <c r="AG22" s="493"/>
      <c r="AJ22" s="494"/>
    </row>
    <row r="23" spans="1:50" s="48" customFormat="1" x14ac:dyDescent="0.3">
      <c r="A23" s="84"/>
      <c r="B23" s="485"/>
      <c r="E23" s="495"/>
      <c r="F23" s="495"/>
      <c r="G23" s="54" t="s">
        <v>9</v>
      </c>
      <c r="H23" s="36"/>
      <c r="I23" s="36"/>
      <c r="J23" s="36"/>
      <c r="K23" s="36"/>
      <c r="L23" s="36"/>
      <c r="M23" s="813">
        <v>9</v>
      </c>
      <c r="N23" s="814">
        <f>((($N$15*1.1)*1.2)*1.2)*1.15</f>
        <v>268.47469439999992</v>
      </c>
      <c r="O23" s="604">
        <f>N23</f>
        <v>268.47469439999992</v>
      </c>
      <c r="P23" s="605" t="str">
        <f t="shared" si="1"/>
        <v>5.1% ^9</v>
      </c>
      <c r="Q23" s="814">
        <f t="shared" si="2"/>
        <v>172.05130840848381</v>
      </c>
      <c r="R23" s="815"/>
      <c r="S23" s="816"/>
      <c r="V23" s="491"/>
      <c r="W23" s="446"/>
      <c r="X23" s="446"/>
      <c r="Y23" s="606" t="s">
        <v>225</v>
      </c>
      <c r="Z23" s="33"/>
      <c r="AA23" s="818"/>
      <c r="AB23" s="818">
        <f>Financials!E10 -Financials!E15</f>
        <v>1308</v>
      </c>
      <c r="AC23" s="819"/>
      <c r="AD23" s="820"/>
      <c r="AE23" s="818"/>
      <c r="AF23" s="821">
        <f>Financials!E20</f>
        <v>632.64342857142856</v>
      </c>
      <c r="AG23" s="493"/>
      <c r="AJ23" s="494"/>
      <c r="AV23" s="446"/>
      <c r="AW23" s="446"/>
      <c r="AX23" s="446"/>
    </row>
    <row r="24" spans="1:50" x14ac:dyDescent="0.3">
      <c r="E24" s="489"/>
      <c r="F24" s="489"/>
      <c r="G24" s="53"/>
      <c r="H24" s="838">
        <f>N24*(1+E16)</f>
        <v>320.46115795200001</v>
      </c>
      <c r="I24" s="947" t="str">
        <f>" = "&amp;TEXT(H24/H25,"#,###")</f>
        <v xml:space="preserve"> = 7,877</v>
      </c>
      <c r="J24" s="947"/>
      <c r="K24" s="947"/>
      <c r="L24" s="34"/>
      <c r="M24" s="839">
        <v>10</v>
      </c>
      <c r="N24" s="840">
        <f>((($N$15*1.3)*1.2)*1.2)*1.15</f>
        <v>317.28827519999999</v>
      </c>
      <c r="O24" s="611">
        <f>N24+N25</f>
        <v>8194.2882752000005</v>
      </c>
      <c r="P24" s="948" t="str">
        <f t="shared" si="1"/>
        <v>5.1% ^10</v>
      </c>
      <c r="Q24" s="949">
        <f>O24/(1+$E$15)^M24</f>
        <v>4997.9758440592159</v>
      </c>
      <c r="R24" s="841"/>
      <c r="S24" s="842"/>
      <c r="Y24" s="612" t="s">
        <v>87</v>
      </c>
      <c r="Z24" s="33"/>
      <c r="AA24" s="843"/>
      <c r="AB24" s="844" t="str">
        <f>"x "&amp;TEXT(AB20,"0.0")</f>
        <v>x 4.9</v>
      </c>
      <c r="AC24" s="845"/>
      <c r="AD24" s="846"/>
      <c r="AE24" s="843"/>
      <c r="AF24" s="847" t="str">
        <f>"x "&amp;TEXT(AF20,"0.0")</f>
        <v>x 9.1</v>
      </c>
      <c r="AG24" s="493"/>
    </row>
    <row r="25" spans="1:50" x14ac:dyDescent="0.3">
      <c r="B25" s="492"/>
      <c r="E25" s="489"/>
      <c r="F25" s="489"/>
      <c r="G25" s="53"/>
      <c r="H25" s="848">
        <f>E15-E16</f>
        <v>4.0683007518796992E-2</v>
      </c>
      <c r="I25" s="947"/>
      <c r="J25" s="947"/>
      <c r="K25" s="947"/>
      <c r="L25" s="34"/>
      <c r="M25" s="849"/>
      <c r="N25" s="850">
        <f>ROUND(N24*(1+$E$16)/($E$15-$E$16),0)</f>
        <v>7877</v>
      </c>
      <c r="O25" s="613"/>
      <c r="P25" s="948"/>
      <c r="Q25" s="949"/>
      <c r="R25" s="841"/>
      <c r="S25" s="842"/>
      <c r="Y25" s="614"/>
      <c r="Z25" s="33"/>
      <c r="AA25" s="818"/>
      <c r="AB25" s="851">
        <f>AB20*AB23</f>
        <v>6388.8396226415089</v>
      </c>
      <c r="AC25" s="852"/>
      <c r="AD25" s="853"/>
      <c r="AE25" s="854"/>
      <c r="AF25" s="855">
        <f>AF20*AF23</f>
        <v>5746.5852923447856</v>
      </c>
    </row>
    <row r="26" spans="1:50" s="485" customFormat="1" ht="4.8" customHeight="1" x14ac:dyDescent="0.3">
      <c r="A26" s="484"/>
      <c r="B26" s="446"/>
      <c r="G26" s="56"/>
      <c r="H26" s="501"/>
      <c r="I26" s="501"/>
      <c r="J26" s="501"/>
      <c r="K26" s="501"/>
      <c r="L26" s="615"/>
      <c r="M26" s="856"/>
      <c r="N26" s="615"/>
      <c r="O26" s="615"/>
      <c r="P26" s="616"/>
      <c r="Q26" s="615"/>
      <c r="R26" s="615"/>
      <c r="S26" s="857"/>
      <c r="T26" s="48"/>
      <c r="V26" s="497"/>
      <c r="W26" s="446"/>
      <c r="X26" s="446"/>
      <c r="Y26" s="617"/>
      <c r="Z26" s="618"/>
      <c r="AA26" s="858"/>
      <c r="AB26" s="858"/>
      <c r="AC26" s="858"/>
      <c r="AD26" s="859"/>
      <c r="AE26" s="858"/>
      <c r="AF26" s="860"/>
      <c r="AG26" s="446"/>
    </row>
    <row r="27" spans="1:50" x14ac:dyDescent="0.3">
      <c r="H27" s="487"/>
      <c r="I27" s="619"/>
      <c r="J27" s="619"/>
      <c r="K27" s="620"/>
    </row>
    <row r="28" spans="1:50" x14ac:dyDescent="0.3">
      <c r="E28" s="621"/>
    </row>
    <row r="29" spans="1:50" x14ac:dyDescent="0.3">
      <c r="E29" s="621"/>
    </row>
    <row r="30" spans="1:50" x14ac:dyDescent="0.3">
      <c r="H30" s="495"/>
      <c r="I30" s="620"/>
      <c r="J30" s="620"/>
      <c r="K30" s="620"/>
    </row>
    <row r="32" spans="1:50" x14ac:dyDescent="0.3">
      <c r="U32" s="498"/>
    </row>
  </sheetData>
  <sheetProtection algorithmName="SHA-512" hashValue="ZFmQw+hiZ7jVPu86p8ew1Wb+JWkfANYSc6jpCdP86H3mOvDaRu57443LJ6hJSaNl19Mvtmy120Ezzx4deJBlqw==" saltValue="kGdnbAcgACZ0xF56wRAuog==" spinCount="100000" sheet="1" objects="1" scenarios="1" selectLockedCells="1" selectUnlockedCells="1"/>
  <mergeCells count="13">
    <mergeCell ref="U12:V12"/>
    <mergeCell ref="D12:S12"/>
    <mergeCell ref="Y20:Z21"/>
    <mergeCell ref="AE12:AF12"/>
    <mergeCell ref="AF20:AF21"/>
    <mergeCell ref="AB20:AB21"/>
    <mergeCell ref="H16:K16"/>
    <mergeCell ref="H17:K17"/>
    <mergeCell ref="I24:K25"/>
    <mergeCell ref="P24:P25"/>
    <mergeCell ref="Q24:Q25"/>
    <mergeCell ref="H20:J20"/>
    <mergeCell ref="H21:J21"/>
  </mergeCells>
  <printOptions horizontalCentered="1"/>
  <pageMargins left="0.5" right="0.5" top="0.75" bottom="0.5" header="0.5" footer="0.5"/>
  <pageSetup orientation="landscape" r:id="rId1"/>
  <headerFooter scaleWithDoc="0" alignWithMargins="0">
    <oddFooter>&amp;LValuation&amp;RPage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Financials</vt:lpstr>
      <vt:lpstr>Balance</vt:lpstr>
      <vt:lpstr>ProFormas</vt:lpstr>
      <vt:lpstr>PV</vt:lpstr>
      <vt:lpstr>FV</vt:lpstr>
      <vt:lpstr>IRR</vt:lpstr>
      <vt:lpstr>Annuities</vt:lpstr>
      <vt:lpstr>WACC</vt:lpstr>
      <vt:lpstr>Valuation</vt:lpstr>
      <vt:lpstr>Bonds</vt:lpstr>
      <vt:lpstr>ℹ️ </vt:lpstr>
      <vt:lpstr>Annuities!Print_Area</vt:lpstr>
      <vt:lpstr>Balance!Print_Area</vt:lpstr>
      <vt:lpstr>Financials!Print_Area</vt:lpstr>
      <vt:lpstr>FV!Print_Area</vt:lpstr>
      <vt:lpstr>IRR!Print_Area</vt:lpstr>
      <vt:lpstr>'ℹ️ '!Print_Area</vt:lpstr>
      <vt:lpstr>ProFormas!Print_Area</vt:lpstr>
      <vt:lpstr>PV!Print_Area</vt:lpstr>
      <vt:lpstr>Valuation!Print_Area</vt:lpstr>
      <vt:lpstr>WACC!Print_Area</vt:lpstr>
      <vt:lpstr>Annuities!Print_Titles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Beber</dc:creator>
  <cp:lastModifiedBy>Scott Beber</cp:lastModifiedBy>
  <cp:lastPrinted>2026-02-24T23:45:07Z</cp:lastPrinted>
  <dcterms:created xsi:type="dcterms:W3CDTF">2014-01-09T05:07:45Z</dcterms:created>
  <dcterms:modified xsi:type="dcterms:W3CDTF">2026-02-25T02:13:33Z</dcterms:modified>
</cp:coreProperties>
</file>